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N:\HSD\David\Jeugdzorg\Monitoring\2023\Tarieven\Richting aanbieders\"/>
    </mc:Choice>
  </mc:AlternateContent>
  <xr:revisionPtr revIDLastSave="0" documentId="13_ncr:1_{3A0C9426-60D3-46B4-B721-9EB1CFB84F80}" xr6:coauthVersionLast="47" xr6:coauthVersionMax="47" xr10:uidLastSave="{00000000-0000-0000-0000-000000000000}"/>
  <bookViews>
    <workbookView xWindow="-103" yWindow="-103" windowWidth="33120" windowHeight="18274" xr2:uid="{877EA4B4-3F08-4ECF-9D8E-DDC6FE2963CF}"/>
  </bookViews>
  <sheets>
    <sheet name="Ambulant individueel" sheetId="3" r:id="rId1"/>
    <sheet name="Ambulant groep" sheetId="7" r:id="rId2"/>
    <sheet name="Verblijf" sheetId="1" r:id="rId3"/>
    <sheet name="Gezinshuis Licht" sheetId="4" r:id="rId4"/>
    <sheet name="Gezinshuis Middel" sheetId="5" r:id="rId5"/>
    <sheet name="Gezinshuis Zwaar"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7" l="1"/>
  <c r="I9" i="7"/>
  <c r="C39" i="6" l="1"/>
  <c r="C36" i="6"/>
  <c r="C35" i="6"/>
  <c r="C34" i="6"/>
  <c r="C33" i="6"/>
  <c r="C32" i="6"/>
  <c r="D30" i="6"/>
  <c r="C30" i="6"/>
  <c r="C29" i="6"/>
  <c r="D22" i="6"/>
  <c r="D21" i="6"/>
  <c r="D20" i="6"/>
  <c r="D19" i="6"/>
  <c r="D17" i="6"/>
  <c r="D15" i="6"/>
  <c r="D14" i="6"/>
  <c r="D12" i="6"/>
  <c r="D11" i="6"/>
  <c r="D10" i="6"/>
  <c r="D9" i="6"/>
  <c r="F8" i="6"/>
  <c r="C4" i="6"/>
  <c r="C31" i="6" s="1"/>
  <c r="C39" i="5"/>
  <c r="C36" i="5"/>
  <c r="C35" i="5"/>
  <c r="C34" i="5"/>
  <c r="C33" i="5"/>
  <c r="C32" i="5"/>
  <c r="C30" i="5"/>
  <c r="C29" i="5"/>
  <c r="D22" i="5"/>
  <c r="D21" i="5"/>
  <c r="D20" i="5"/>
  <c r="D19" i="5"/>
  <c r="D17" i="5"/>
  <c r="D15" i="5"/>
  <c r="D14" i="5"/>
  <c r="D12" i="5"/>
  <c r="D11" i="5"/>
  <c r="D10" i="5"/>
  <c r="D9" i="5"/>
  <c r="F8" i="5"/>
  <c r="C4" i="5"/>
  <c r="D30" i="5" s="1"/>
  <c r="C39" i="4"/>
  <c r="C36" i="4"/>
  <c r="C35" i="4"/>
  <c r="C34" i="4"/>
  <c r="C33" i="4"/>
  <c r="C32" i="4"/>
  <c r="D30" i="4"/>
  <c r="C30" i="4"/>
  <c r="C29" i="4"/>
  <c r="D22" i="4"/>
  <c r="D21" i="4"/>
  <c r="D20" i="4"/>
  <c r="D19" i="4"/>
  <c r="D17" i="4"/>
  <c r="D15" i="4"/>
  <c r="D14" i="4"/>
  <c r="D12" i="4"/>
  <c r="D11" i="4"/>
  <c r="D10" i="4"/>
  <c r="D9" i="4"/>
  <c r="F8" i="4"/>
  <c r="C4" i="4"/>
  <c r="C31" i="4" s="1"/>
  <c r="D31" i="6" l="1"/>
  <c r="E2" i="6"/>
  <c r="D31" i="4"/>
  <c r="E2" i="4"/>
  <c r="C37" i="4"/>
  <c r="C40" i="4" s="1"/>
  <c r="D2" i="4" s="1"/>
  <c r="C31" i="5"/>
  <c r="C37" i="6"/>
  <c r="C40" i="6" s="1"/>
  <c r="D2" i="6" s="1"/>
  <c r="C38" i="4"/>
  <c r="C38" i="6"/>
  <c r="D31" i="5" l="1"/>
  <c r="E2" i="5"/>
  <c r="C37" i="5"/>
  <c r="C38" i="5"/>
  <c r="C40" i="5" s="1"/>
  <c r="D2" i="5" s="1"/>
  <c r="I17" i="3"/>
  <c r="I15" i="3"/>
  <c r="I14" i="3"/>
  <c r="I12" i="3"/>
  <c r="I11" i="3"/>
  <c r="I10" i="3"/>
  <c r="I9" i="3"/>
  <c r="I8" i="3"/>
  <c r="I7" i="3"/>
  <c r="I6" i="3"/>
  <c r="I21" i="1" l="1"/>
  <c r="I13" i="1" l="1"/>
  <c r="I22" i="1"/>
  <c r="I10" i="1"/>
  <c r="I9" i="1"/>
  <c r="I8" i="1"/>
  <c r="I7" i="1"/>
  <c r="I6" i="1"/>
  <c r="E37" i="1"/>
  <c r="E36" i="1"/>
  <c r="E38" i="1" s="1"/>
</calcChain>
</file>

<file path=xl/sharedStrings.xml><?xml version="1.0" encoding="utf-8"?>
<sst xmlns="http://schemas.openxmlformats.org/spreadsheetml/2006/main" count="340" uniqueCount="186">
  <si>
    <t>Voorziening</t>
  </si>
  <si>
    <t>Bandbreedte</t>
  </si>
  <si>
    <t>Eenheid</t>
  </si>
  <si>
    <t>Jeugdhulp verblijf: inspanningsgericht (licht)</t>
  </si>
  <si>
    <t>0,7 tot 1,8</t>
  </si>
  <si>
    <t>per etmaal</t>
  </si>
  <si>
    <t>Jeugdhulp verblijf: inspanningsgericht (middel)</t>
  </si>
  <si>
    <t>Jeugdhulp verblijf: inspanningsgericht (middelzwaar)</t>
  </si>
  <si>
    <t>Jeugdhulp verblijf: inspanningsgericht (zwaar)</t>
  </si>
  <si>
    <t>Jeugdhulp verblijf: inspanningsgericht (extra zwaar)</t>
  </si>
  <si>
    <t>Deeltijdverblijf: inspanningsgericht</t>
  </si>
  <si>
    <t>1,0 tot 2,0</t>
  </si>
  <si>
    <t>Jeugdhulp crisis verblijf: inspanningsgericht</t>
  </si>
  <si>
    <t>Op basis van input aanbieders</t>
  </si>
  <si>
    <t>Intensiteit</t>
  </si>
  <si>
    <t>Doorrekening zonder norm</t>
  </si>
  <si>
    <t>Opmerking</t>
  </si>
  <si>
    <t>Gestelde norm(en)</t>
  </si>
  <si>
    <t>Voorzieningen Dagverblijf</t>
  </si>
  <si>
    <t>Begeleidingsintensiteit</t>
  </si>
  <si>
    <t>Uur</t>
  </si>
  <si>
    <t>Jeugdhulp ambulant regulier: inspanningsgericht (ind)</t>
  </si>
  <si>
    <t>Jeugdhulp ambulant specialistisch: inspanningsgericht</t>
  </si>
  <si>
    <t>Persoonlijke verzorging regulier: inspanningsgericht</t>
  </si>
  <si>
    <t>Jeugdhulp ambulant BH regulier: inspanningsgericht</t>
  </si>
  <si>
    <t xml:space="preserve">Jeugdhulp ambulant specialistisch:  outputgericht (licht) </t>
  </si>
  <si>
    <t xml:space="preserve">Jeugdhulp ambulant specialistisch:  outputgericht (middel) </t>
  </si>
  <si>
    <t>Jeugdhulp ambulant diagnostiek: inspanningsgericht</t>
  </si>
  <si>
    <t>Jeugd-ggz behandeling regulier / generalistisch</t>
  </si>
  <si>
    <t>Jeugd-ggz behandeling specialistisch</t>
  </si>
  <si>
    <t>Kindergeneeskunde 53A</t>
  </si>
  <si>
    <t>Behandeling: inspanningsgericht</t>
  </si>
  <si>
    <t>Jeugdhulp crisis ambulant: outputgericht</t>
  </si>
  <si>
    <t>45A48</t>
  </si>
  <si>
    <t>45A53</t>
  </si>
  <si>
    <t>40A11</t>
  </si>
  <si>
    <t>45A04</t>
  </si>
  <si>
    <t>45A14</t>
  </si>
  <si>
    <t>45A15</t>
  </si>
  <si>
    <t>45A06</t>
  </si>
  <si>
    <t>53A01</t>
  </si>
  <si>
    <t>45A65</t>
  </si>
  <si>
    <t>46B01</t>
  </si>
  <si>
    <t xml:space="preserve">Jeugdhulp ambulant specialistisch:  outputgericht (zwaar) </t>
  </si>
  <si>
    <t>45A16</t>
  </si>
  <si>
    <t>Voor de GGZ is de aanpassing van € 56.673 naar € 40.387</t>
  </si>
  <si>
    <t>Voor begeleiding regulier en Persoonlijke verzorging is de aanpassing van € 28.336 naar € 25.000</t>
  </si>
  <si>
    <t>Voor begeleiding regulier en Persoonlijke verzorging is de aanpassing van 1.220 naar 1.300</t>
  </si>
  <si>
    <t>1. Overhead per fte aangepast van € 47.227 naar € 40.387. Door niet volledig rekening te houden met de diseconomies of scale.</t>
  </si>
  <si>
    <t>2. Norm productieve uren bijgesteld van 1.220 naar 1.200</t>
  </si>
  <si>
    <t>1. Huisvestingskosten vanaf intensiteit 1,81 gelijk gesteld: € 10.476,- per jaar per capaciteitsplaats</t>
  </si>
  <si>
    <t>2. Overhead per fte aangepast van € 29.524 naar € 25.000. Door niet volledig rekening te houden met de diseconomies of scale</t>
  </si>
  <si>
    <t>3. Aanpassing van PNIL 30% opslag naar uurloon € 60,-</t>
  </si>
  <si>
    <t>Huidig tarief 2023</t>
  </si>
  <si>
    <t>Verschil</t>
  </si>
  <si>
    <t>3. De functiemix bij begeleiding regulier en persoonlijke verzorging aangepast naar 80% MBO en 20% HBO, 
waarmee we de bedoeling van het product hebben toegepast terwijl we zien dat de aanbieders dit vaak 
invullen met relatief veel HBO.</t>
  </si>
  <si>
    <t>4. De functiemix bij 45A06 aangepast naar, hogere WO schalen (overeenkomstig input aanbieders inschaling gedragswetenschappers).</t>
  </si>
  <si>
    <t>5. Kleine aanpassing bij Dyslexie 45A65 aan de functie-mix zodat tarief gelijk aan basis GGZ</t>
  </si>
  <si>
    <t>43A29</t>
  </si>
  <si>
    <t>Gezinshuis: outputgericht (licht)</t>
  </si>
  <si>
    <t>43A30</t>
  </si>
  <si>
    <t>Gezinshuis: outputgericht (middel)</t>
  </si>
  <si>
    <t>43A31</t>
  </si>
  <si>
    <t>Gezinshuis: outputgericht (zwaar)</t>
  </si>
  <si>
    <t>en hoger t/m 1-op-3</t>
  </si>
  <si>
    <t>1-op-3,01 t/m 1-op-2,5</t>
  </si>
  <si>
    <t>1-op-2,501 t/m en lager</t>
  </si>
  <si>
    <t>1,801 tot 2,8</t>
  </si>
  <si>
    <t>2,801 tot 3,2</t>
  </si>
  <si>
    <t>3,201 tot 3,7</t>
  </si>
  <si>
    <t>3,701 tot 4,5</t>
  </si>
  <si>
    <t>43A35</t>
  </si>
  <si>
    <t>43A36</t>
  </si>
  <si>
    <t>43A38</t>
  </si>
  <si>
    <t>43A37</t>
  </si>
  <si>
    <t>43A39</t>
  </si>
  <si>
    <t>54014</t>
  </si>
  <si>
    <t>Jeugd-ggz verblijf tariefklasse F</t>
  </si>
  <si>
    <t>54015</t>
  </si>
  <si>
    <t>Jeugd-ggz verblijf tariefklasse G</t>
  </si>
  <si>
    <t>43A08</t>
  </si>
  <si>
    <t>46A03</t>
  </si>
  <si>
    <t>43A09</t>
  </si>
  <si>
    <t>Pleegzorg: inspanningsgericht</t>
  </si>
  <si>
    <t>43A62</t>
  </si>
  <si>
    <t>Pleegzorg: inspanningsgericht (weekend)</t>
  </si>
  <si>
    <t>46A05</t>
  </si>
  <si>
    <t>Jeugdhulp crisis pleegzorg: inspanningsgericht</t>
  </si>
  <si>
    <t>42A03</t>
  </si>
  <si>
    <t>Vervoer: inspanningsgericht</t>
  </si>
  <si>
    <t>Voorstel regio Groep Ambulant</t>
  </si>
  <si>
    <t>45A52-Jeugdhulp ambulant regulier: inspanningsgericht (op locatie)</t>
  </si>
  <si>
    <t>44A06</t>
  </si>
  <si>
    <t>Jeugdhulp verblijf: inspanningsgericht (exclusief behandeling)</t>
  </si>
  <si>
    <t>54009</t>
  </si>
  <si>
    <t>Jeugd-ggz verblijf tariefklasse A</t>
  </si>
  <si>
    <t>54010</t>
  </si>
  <si>
    <t>Jeugd-ggz verblijf tariefklasse B</t>
  </si>
  <si>
    <t>54011</t>
  </si>
  <si>
    <t>Jeugd-ggz verblijf tariefklasse C</t>
  </si>
  <si>
    <t>54012</t>
  </si>
  <si>
    <t>Jeugd-ggz verblijf tariefklasse D</t>
  </si>
  <si>
    <t>54013</t>
  </si>
  <si>
    <t>Jeugd-ggz verblijf tariefklasse E</t>
  </si>
  <si>
    <t>45A52</t>
  </si>
  <si>
    <t>Tov eerdere presentatie aan aanbieders. Categorie tussen gevoegd zodat meer recht gedaan kan worden aan de verschillende soorten intensiteit</t>
  </si>
  <si>
    <t>Tov eerdere presentatie aan aanbieders. Naast Normen ook intensiteit bijgesteld</t>
  </si>
  <si>
    <t>Tov eerdere presentatie aan aanbieders. Deze zwaarte is komen te vervallen (het ging hier om groepen die of bovenregionaal, maatwerk of klinische GGZ zitten /zaten)</t>
  </si>
  <si>
    <t>Voorstel nieuw tarief prijspeil 2023</t>
  </si>
  <si>
    <t>Voorstel Verblijf</t>
  </si>
  <si>
    <t>TARIEVEN ZIJN PRIJSPEIL 2023 (voor de vergelijking), naar 2024 zullen tarieven op de gebruikelijke manier worden geindexeerd.</t>
  </si>
  <si>
    <t>5,1 tot 6,1</t>
  </si>
  <si>
    <t>8,0 tot 9,0</t>
  </si>
  <si>
    <t>Voorstel om producten te laten vervallen, wordt niet ingezet</t>
  </si>
  <si>
    <t>Gegevens over gezinshuis</t>
  </si>
  <si>
    <t>aantal</t>
  </si>
  <si>
    <t>berekend etmaaltarief</t>
  </si>
  <si>
    <t>begeleidingsintensiteit</t>
  </si>
  <si>
    <t>Aantal gezinshuisouders (in fte)*</t>
  </si>
  <si>
    <t>Aantal capaciteitsplaatsen van het gezinshuis</t>
  </si>
  <si>
    <t>Aantal jeugdigen per gezinshuisouder</t>
  </si>
  <si>
    <t>Prijsindex van 2022 naar jaar…</t>
  </si>
  <si>
    <t>jaar</t>
  </si>
  <si>
    <t>(bijv.: 2 indexaties van 2,5% voor 2023 en 2024 is bijvoorbeeld: (1,025*1,025-100% = 5,06%)</t>
  </si>
  <si>
    <t>percentage</t>
  </si>
  <si>
    <t>(Bouwsteen) - Overige gegevens/normen</t>
  </si>
  <si>
    <t>keuzewaarde</t>
  </si>
  <si>
    <t>* Het gaat hier om voltijds beschikbare gezinshuisouders, dus gezinshuisouders zonder inkomen uit andere arbeid.</t>
  </si>
  <si>
    <t>(1) - Normjaarinkomen SKJ-geregistreerde gezinshuisouder</t>
  </si>
  <si>
    <t>(7) - Overheadkosten per gezinshuisouder per jaar</t>
  </si>
  <si>
    <t>(7) - Overheadkosten per gezinshuis per jaar</t>
  </si>
  <si>
    <t>** De standaardwaarde van 1,0 uur per jeugdige per week is voldoende voor de overgrote meerderheid van de gezinshuizen. De beschikbare uren mogen naar behoefte worden verdeeld over de jeugdigen. Bij zeer hoge zorgzwaarte kan hier een hogere waarde worden gekozen.</t>
  </si>
  <si>
    <t>(2) - Gedragswetenschapper (netto uren per jeugdige per week)**</t>
  </si>
  <si>
    <t>(2) - Jaarkosten gedragswetenschapper</t>
  </si>
  <si>
    <t>(2) - Declarabele uren gedragswetenschapper per jaar</t>
  </si>
  <si>
    <t>(3) - Ondersteuning** (netto uren per jeugdige per week)</t>
  </si>
  <si>
    <t>*** De extra opslag zorgzwaarte biedt de mogelijkheid om zorgzwaarte toe te voegen in de vorm van extra geld. Hiermee zouden extra materiële uitgaven voor een jeugdige kunnen worden betaald, waarvan redelijkerwijs niet gesteld kan worden dat deze horen bij de standaardkosten van gezinshuiszorg. Hier weegt óók de specifieke situatie van een gezinshuis mee, zoals de kosten die voor de andere jeugdigen uit een gezinshuis gemaakt moeten worden. Per jeugdige is ongeveer € 30.000-€ 35.000 aan kosten per jaar (dus zonder de bouwsteen 'Inkomen') opgenomen in de norm (afhankelijk van het aantal capaciteitsplaatsen).  Let op: met de bouwsteen 'extra pedagogische onderteuning' kan extra zorgzwaarte worden toegevoegd in de vorm van 'uren'. Hierbij geldt dezelfde redering als bij de opslag in euro's, dat de context van het gezinshuis mede bepaalt of de extra zorgzwaarte zou moeten worden gehonoreerd.</t>
  </si>
  <si>
    <t xml:space="preserve">(3) - Jaarkosten Ondersteuning </t>
  </si>
  <si>
    <t>(3) - Roosterbare uren Ondersteuning per jaar</t>
  </si>
  <si>
    <t>(4) - Kosten vervanging/logeren (€ per jeugdige per dag)</t>
  </si>
  <si>
    <t>(5) - Verzorgingskosten per jeugdige dag</t>
  </si>
  <si>
    <t>(6) - Huisvestingskosten per jeugdige per dag</t>
  </si>
  <si>
    <t>(8) - Gelieerde zorgaanbieder (€ per jeugdige dag)</t>
  </si>
  <si>
    <t>(11) - Extra opslag zorgzwaarte (€)***</t>
  </si>
  <si>
    <t>(9) - Opslag leegstand (%)</t>
  </si>
  <si>
    <t>(10) - Opslag winst/marge (%)</t>
  </si>
  <si>
    <t>(3) - Hogere pedagogische inhuur vanaf begeleidingsintensiteit****</t>
  </si>
  <si>
    <r>
      <t xml:space="preserve">**** Het inkomen van de gezinhuisouders wordt in dit rekenmodel berekend door het normjaarinkomen te delen op het aantal jeugdigen per gezinshuisouder. Per extra </t>
    </r>
    <r>
      <rPr>
        <i/>
        <sz val="9"/>
        <color theme="1"/>
        <rFont val="Calibri"/>
        <family val="2"/>
        <scheme val="minor"/>
      </rPr>
      <t>capaciteitsplaats</t>
    </r>
    <r>
      <rPr>
        <sz val="9"/>
        <color theme="1"/>
        <rFont val="Calibri"/>
        <family val="2"/>
        <scheme val="minor"/>
      </rPr>
      <t xml:space="preserve"> in het gezinshuis, daalt de bijdrage per jeugdige aan het inkomen van de gezinshuisouder. Het inkomen blijft zo altijd op het normjaarinkomen, ongeacht de groepsgrootte. 
Echter, naarmate de gezinshuizen groter worden, zal de pedagogische inhuur stijgen omdat de gezinshuisouders niet genoeg tijd meer aan de jeugdigen kunnen besteden. De hoeveelheid fte per jeugdige (= 'begeleidingsintensiteit') wordt dan eenvoudigweg te klein. In dit model kan worden ingesteld vanaf welke  begeleidingsintensiteit ('fte gezinhuisouders + fte gedragswetenschapper + fte pedagogische ondersteuning/jeugdigen') de pedagogische inhuur toeneemt als de groepsgrootte verder stijgt. Vanaf dan stijgt de inhuur pedagogische ondersteuning met (ongeveer) hetzelfde bedrag als de inkomen gezinshuisouder per jeugdige daalt. Vanaf dan daalt het tarief niet meer als het aantal capaciteitsplaatsen stijgt.</t>
    </r>
  </si>
  <si>
    <t>Tariefsopbouw per bouwsteen</t>
  </si>
  <si>
    <t>euro's</t>
  </si>
  <si>
    <r>
      <t>1.</t>
    </r>
    <r>
      <rPr>
        <sz val="7"/>
        <color theme="1"/>
        <rFont val="Times New Roman"/>
        <family val="1"/>
      </rPr>
      <t xml:space="preserve">       </t>
    </r>
    <r>
      <rPr>
        <sz val="11"/>
        <color theme="1"/>
        <rFont val="Calibri"/>
        <family val="2"/>
        <scheme val="minor"/>
      </rPr>
      <t>Inkomen gezinshuisouders</t>
    </r>
  </si>
  <si>
    <r>
      <t>2.</t>
    </r>
    <r>
      <rPr>
        <sz val="7"/>
        <color theme="1"/>
        <rFont val="Times New Roman"/>
        <family val="1"/>
      </rPr>
      <t xml:space="preserve">       </t>
    </r>
    <r>
      <rPr>
        <sz val="11"/>
        <color theme="1"/>
        <rFont val="Calibri"/>
        <family val="2"/>
        <scheme val="minor"/>
      </rPr>
      <t>Gedragswetenschapper</t>
    </r>
  </si>
  <si>
    <t>3.       Ondersteuning</t>
  </si>
  <si>
    <r>
      <t>4.</t>
    </r>
    <r>
      <rPr>
        <sz val="7"/>
        <color theme="1"/>
        <rFont val="Times New Roman"/>
        <family val="1"/>
      </rPr>
      <t xml:space="preserve">       </t>
    </r>
    <r>
      <rPr>
        <sz val="11"/>
        <color theme="1"/>
        <rFont val="Calibri"/>
        <family val="2"/>
        <scheme val="minor"/>
      </rPr>
      <t>Vervanging/logeren</t>
    </r>
  </si>
  <si>
    <r>
      <t>5.</t>
    </r>
    <r>
      <rPr>
        <sz val="7"/>
        <color theme="1"/>
        <rFont val="Times New Roman"/>
        <family val="1"/>
      </rPr>
      <t xml:space="preserve">       </t>
    </r>
    <r>
      <rPr>
        <sz val="11"/>
        <color theme="1"/>
        <rFont val="Calibri"/>
        <family val="2"/>
        <scheme val="minor"/>
      </rPr>
      <t>Verzorging</t>
    </r>
  </si>
  <si>
    <r>
      <t>6.</t>
    </r>
    <r>
      <rPr>
        <sz val="7"/>
        <color theme="1"/>
        <rFont val="Times New Roman"/>
        <family val="1"/>
      </rPr>
      <t xml:space="preserve">       </t>
    </r>
    <r>
      <rPr>
        <sz val="11"/>
        <color theme="1"/>
        <rFont val="Calibri"/>
        <family val="2"/>
        <scheme val="minor"/>
      </rPr>
      <t>Huisvesting</t>
    </r>
  </si>
  <si>
    <r>
      <t>7.</t>
    </r>
    <r>
      <rPr>
        <sz val="7"/>
        <color theme="1"/>
        <rFont val="Times New Roman"/>
        <family val="1"/>
      </rPr>
      <t xml:space="preserve">       </t>
    </r>
    <r>
      <rPr>
        <sz val="11"/>
        <color theme="1"/>
        <rFont val="Calibri"/>
        <family val="2"/>
        <scheme val="minor"/>
      </rPr>
      <t>Overhead</t>
    </r>
  </si>
  <si>
    <r>
      <t>8.</t>
    </r>
    <r>
      <rPr>
        <sz val="7"/>
        <color theme="1"/>
        <rFont val="Times New Roman"/>
        <family val="1"/>
      </rPr>
      <t xml:space="preserve">       </t>
    </r>
    <r>
      <rPr>
        <sz val="11"/>
        <color theme="1"/>
        <rFont val="Calibri"/>
        <family val="2"/>
        <scheme val="minor"/>
      </rPr>
      <t>Gelieerde zorgaanbieder</t>
    </r>
  </si>
  <si>
    <r>
      <t>9.</t>
    </r>
    <r>
      <rPr>
        <sz val="7"/>
        <color theme="1"/>
        <rFont val="Times New Roman"/>
        <family val="1"/>
      </rPr>
      <t xml:space="preserve">       </t>
    </r>
    <r>
      <rPr>
        <sz val="11"/>
        <color theme="1"/>
        <rFont val="Calibri"/>
        <family val="2"/>
        <scheme val="minor"/>
      </rPr>
      <t>Leegstand</t>
    </r>
  </si>
  <si>
    <r>
      <t>10.</t>
    </r>
    <r>
      <rPr>
        <sz val="7"/>
        <color theme="1"/>
        <rFont val="Times New Roman"/>
        <family val="1"/>
      </rPr>
      <t>    </t>
    </r>
    <r>
      <rPr>
        <sz val="11"/>
        <color theme="1"/>
        <rFont val="Calibri"/>
        <family val="2"/>
        <scheme val="minor"/>
      </rPr>
      <t>Winst/marge</t>
    </r>
  </si>
  <si>
    <r>
      <t>11.</t>
    </r>
    <r>
      <rPr>
        <sz val="7"/>
        <color theme="1"/>
        <rFont val="Times New Roman"/>
        <family val="1"/>
      </rPr>
      <t>    </t>
    </r>
    <r>
      <rPr>
        <sz val="11"/>
        <color theme="1"/>
        <rFont val="Calibri"/>
        <family val="2"/>
        <scheme val="minor"/>
      </rPr>
      <t>Zorgzwaarte</t>
    </r>
  </si>
  <si>
    <t>Totaal</t>
  </si>
  <si>
    <t>Conform handreiking, zie berekening in de cel</t>
  </si>
  <si>
    <t>Opslag gelijk aan huidige opslag</t>
  </si>
  <si>
    <t>Gaat op in bovenstaande producten</t>
  </si>
  <si>
    <t xml:space="preserve">Voorstel Ambulant individueel </t>
  </si>
  <si>
    <t>Tov eerdere presentatie aan aanbieders, het voorstel om dit product te schrappen. De inzet op dit product is een functie-mix die past bij 45A14 en 45A15.</t>
  </si>
  <si>
    <t>Consult op de polikliniek bij gedragsproblemen</t>
  </si>
  <si>
    <t>53A02</t>
  </si>
  <si>
    <t>53A06</t>
  </si>
  <si>
    <t>Behandeling of onderzoek op de polikliniek of dagb</t>
  </si>
  <si>
    <t>Consult op de polikliniek bij een psychische of ge</t>
  </si>
  <si>
    <t>53A04</t>
  </si>
  <si>
    <t>Voorstel om van Dot's over te gaan naar een uur / minuut tarief,
hierbij wordt alle kindergeneeskunde op 1 code gedeclareerd</t>
  </si>
  <si>
    <t>45A49</t>
  </si>
  <si>
    <t>Jeugdhulp ambulant regulier: begeleiding groep</t>
  </si>
  <si>
    <t>45A54</t>
  </si>
  <si>
    <t>Jeugdhulp ambulant specialistisch: begeleiding groep</t>
  </si>
  <si>
    <t>Zie mail, volgen op een later tijdstip</t>
  </si>
  <si>
    <t>Op basis van NZA 2023, C3</t>
  </si>
  <si>
    <t>Voor nu gelijk aan de eerdere afsparken (BSO vergoeding x 2), 
op een later moment volgt nog een evaluatie van dit product</t>
  </si>
  <si>
    <t>1. Vervoer gelijk gesteld aan de C3 norm van de NZA</t>
  </si>
  <si>
    <t>Conform handreiking, Zie tabblad Gezinshuis Zwaar voor de berekening</t>
  </si>
  <si>
    <t>Conform handreiking, Zie tabblad Gezinshuis Middel voor de berekening</t>
  </si>
  <si>
    <t>Conform handreiking, Zie tabblad Gezinshuis Licht voor de berekening</t>
  </si>
  <si>
    <t>Hier loopt een bovenregionaal traject voor, zolang als dit loopt indexeren we de huidige tarieven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</si>
</sst>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 #,##0.00;[Red]&quot;€&quot;\ \-#,##0.00"/>
    <numFmt numFmtId="164" formatCode="&quot;€&quot;\ #,##0.00"/>
    <numFmt numFmtId="165" formatCode="&quot;€&quot;\ #,##0;\-&quot;€&quot;\ #,##0;&quot;€&quot;\ #,##0"/>
    <numFmt numFmtId="166" formatCode="&quot;€&quot;\ #,##0"/>
    <numFmt numFmtId="167" formatCode="0.0%"/>
    <numFmt numFmtId="168" formatCode="0.0"/>
    <numFmt numFmtId="169" formatCode="&quot;€&quot;\ #,##0.0"/>
  </numFmts>
  <fonts count="21"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9"/>
      <name val="Verdana"/>
      <family val="2"/>
    </font>
    <font>
      <sz val="8"/>
      <name val="Calibri"/>
      <family val="2"/>
      <scheme val="minor"/>
    </font>
    <font>
      <sz val="11"/>
      <name val="Calibri"/>
      <family val="2"/>
    </font>
    <font>
      <sz val="11"/>
      <color rgb="FF000000"/>
      <name val="Calibri"/>
      <family val="2"/>
      <scheme val="minor"/>
    </font>
    <font>
      <strike/>
      <sz val="11"/>
      <name val="Calibri"/>
      <family val="2"/>
    </font>
    <font>
      <sz val="10"/>
      <color theme="1"/>
      <name val="Verdana"/>
      <family val="2"/>
    </font>
    <font>
      <strike/>
      <sz val="11"/>
      <name val="Calibri Light"/>
      <family val="2"/>
    </font>
    <font>
      <strike/>
      <sz val="10"/>
      <name val="Calibri Light"/>
      <family val="2"/>
    </font>
    <font>
      <strike/>
      <sz val="10"/>
      <color theme="1"/>
      <name val="Calibri Light"/>
      <family val="2"/>
    </font>
    <font>
      <b/>
      <sz val="11"/>
      <color rgb="FFFA7D00"/>
      <name val="Calibri"/>
      <family val="2"/>
      <scheme val="minor"/>
    </font>
    <font>
      <sz val="16"/>
      <color rgb="FFFF0000"/>
      <name val="Calibri"/>
      <family val="2"/>
      <scheme val="minor"/>
    </font>
    <font>
      <b/>
      <sz val="14"/>
      <color theme="1"/>
      <name val="Calibri"/>
      <family val="2"/>
      <scheme val="minor"/>
    </font>
    <font>
      <sz val="9"/>
      <color theme="1"/>
      <name val="Calibri"/>
      <family val="2"/>
      <scheme val="minor"/>
    </font>
    <font>
      <b/>
      <sz val="9"/>
      <color rgb="FFFF0000"/>
      <name val="Calibri"/>
      <family val="2"/>
      <scheme val="minor"/>
    </font>
    <font>
      <i/>
      <sz val="9"/>
      <color theme="1"/>
      <name val="Calibri"/>
      <family val="2"/>
      <scheme val="minor"/>
    </font>
    <font>
      <sz val="7"/>
      <color theme="1"/>
      <name val="Times New Roman"/>
      <family val="1"/>
    </font>
    <font>
      <strike/>
      <sz val="11"/>
      <color theme="1"/>
      <name val="Calibri"/>
      <family val="2"/>
      <scheme val="minor"/>
    </font>
  </fonts>
  <fills count="4">
    <fill>
      <patternFill patternType="none"/>
    </fill>
    <fill>
      <patternFill patternType="gray125"/>
    </fill>
    <fill>
      <patternFill patternType="solid">
        <fgColor rgb="FFF2F2F2"/>
      </patternFill>
    </fill>
    <fill>
      <patternFill patternType="solid">
        <fgColor theme="0" tint="-4.9989318521683403E-2"/>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7">
    <xf numFmtId="0" fontId="0" fillId="0" borderId="0"/>
    <xf numFmtId="9" fontId="2" fillId="0" borderId="0" applyFont="0" applyFill="0" applyBorder="0" applyAlignment="0" applyProtection="0"/>
    <xf numFmtId="0" fontId="3" fillId="0" borderId="0"/>
    <xf numFmtId="0" fontId="6" fillId="0" borderId="0"/>
    <xf numFmtId="0" fontId="3" fillId="0" borderId="0"/>
    <xf numFmtId="0" fontId="9" fillId="0" borderId="0"/>
    <xf numFmtId="0" fontId="13" fillId="2" borderId="9" applyNumberFormat="0" applyAlignment="0" applyProtection="0"/>
  </cellStyleXfs>
  <cellXfs count="81">
    <xf numFmtId="0" fontId="0" fillId="0" borderId="0" xfId="0"/>
    <xf numFmtId="0" fontId="1" fillId="0" borderId="0" xfId="0" applyFont="1"/>
    <xf numFmtId="0" fontId="1" fillId="0" borderId="0" xfId="0" applyFont="1" applyAlignment="1">
      <alignment horizontal="right"/>
    </xf>
    <xf numFmtId="164" fontId="0" fillId="0" borderId="0" xfId="0" applyNumberFormat="1"/>
    <xf numFmtId="0" fontId="1" fillId="0" borderId="1" xfId="0" applyFont="1"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4" xfId="0" applyBorder="1" applyAlignment="1">
      <alignment horizontal="left" indent="2"/>
    </xf>
    <xf numFmtId="0" fontId="1" fillId="0" borderId="0" xfId="0" applyFont="1" applyAlignment="1">
      <alignment wrapText="1"/>
    </xf>
    <xf numFmtId="0" fontId="4" fillId="0" borderId="0" xfId="2" quotePrefix="1" applyFont="1"/>
    <xf numFmtId="0" fontId="4" fillId="0" borderId="0" xfId="2" applyFont="1"/>
    <xf numFmtId="0" fontId="6" fillId="0" borderId="0" xfId="3"/>
    <xf numFmtId="9" fontId="0" fillId="0" borderId="0" xfId="1" applyFont="1"/>
    <xf numFmtId="8" fontId="7" fillId="0" borderId="0" xfId="0" applyNumberFormat="1" applyFont="1"/>
    <xf numFmtId="0" fontId="6" fillId="0" borderId="0" xfId="3" applyBorder="1"/>
    <xf numFmtId="3" fontId="8" fillId="0" borderId="0" xfId="3" applyNumberFormat="1" applyFont="1"/>
    <xf numFmtId="165" fontId="8" fillId="0" borderId="0" xfId="3" applyNumberFormat="1" applyFont="1"/>
    <xf numFmtId="0" fontId="10" fillId="0" borderId="0" xfId="3" applyFont="1"/>
    <xf numFmtId="0" fontId="11" fillId="0" borderId="0" xfId="4" applyFont="1"/>
    <xf numFmtId="0" fontId="12" fillId="0" borderId="0" xfId="5" applyFont="1"/>
    <xf numFmtId="166" fontId="10" fillId="0" borderId="0" xfId="3" applyNumberFormat="1" applyFont="1"/>
    <xf numFmtId="0" fontId="0" fillId="0" borderId="0" xfId="0" applyFill="1"/>
    <xf numFmtId="164" fontId="8" fillId="0" borderId="0" xfId="3" applyNumberFormat="1" applyFont="1"/>
    <xf numFmtId="164" fontId="10" fillId="0" borderId="0" xfId="3" applyNumberFormat="1" applyFont="1"/>
    <xf numFmtId="164" fontId="0" fillId="0" borderId="0" xfId="0" applyNumberFormat="1" applyFill="1"/>
    <xf numFmtId="0" fontId="13" fillId="2" borderId="9" xfId="6"/>
    <xf numFmtId="0" fontId="0" fillId="0" borderId="0" xfId="0" applyAlignment="1">
      <alignment wrapText="1"/>
    </xf>
    <xf numFmtId="0" fontId="14" fillId="0" borderId="0" xfId="0" applyFont="1"/>
    <xf numFmtId="0" fontId="1" fillId="0" borderId="10" xfId="0" applyFont="1" applyBorder="1"/>
    <xf numFmtId="0" fontId="1" fillId="0" borderId="10" xfId="0" applyFont="1" applyBorder="1" applyAlignment="1">
      <alignment horizontal="right"/>
    </xf>
    <xf numFmtId="0" fontId="1" fillId="0" borderId="10" xfId="0" applyFont="1" applyBorder="1" applyAlignment="1">
      <alignment horizontal="center" vertical="center"/>
    </xf>
    <xf numFmtId="0" fontId="0" fillId="0" borderId="10" xfId="0" applyBorder="1"/>
    <xf numFmtId="168" fontId="0" fillId="3" borderId="10" xfId="0" applyNumberFormat="1" applyFill="1" applyBorder="1" applyProtection="1">
      <protection locked="0"/>
    </xf>
    <xf numFmtId="168" fontId="0" fillId="0" borderId="10" xfId="0" applyNumberFormat="1" applyBorder="1"/>
    <xf numFmtId="168" fontId="0" fillId="0" borderId="0" xfId="0" applyNumberFormat="1"/>
    <xf numFmtId="0" fontId="15" fillId="0" borderId="0" xfId="0" applyFont="1" applyAlignment="1">
      <alignment horizontal="center" vertical="center"/>
    </xf>
    <xf numFmtId="2" fontId="15" fillId="0" borderId="0" xfId="0" applyNumberFormat="1" applyFont="1" applyAlignment="1">
      <alignment horizontal="center" vertical="center" wrapText="1"/>
    </xf>
    <xf numFmtId="0" fontId="1" fillId="0" borderId="10" xfId="0" applyFont="1" applyBorder="1" applyAlignment="1">
      <alignment horizontal="center"/>
    </xf>
    <xf numFmtId="10" fontId="0" fillId="0" borderId="0" xfId="0" applyNumberFormat="1"/>
    <xf numFmtId="0" fontId="15" fillId="0" borderId="10" xfId="0" applyFont="1" applyBorder="1" applyAlignment="1" applyProtection="1">
      <alignment horizontal="center"/>
      <protection locked="0"/>
    </xf>
    <xf numFmtId="0" fontId="16" fillId="0" borderId="0" xfId="0" applyFont="1"/>
    <xf numFmtId="10" fontId="0" fillId="0" borderId="10" xfId="0" applyNumberFormat="1" applyBorder="1" applyAlignment="1" applyProtection="1">
      <alignment horizontal="center"/>
      <protection locked="0"/>
    </xf>
    <xf numFmtId="0" fontId="17" fillId="0" borderId="0" xfId="0" applyFont="1"/>
    <xf numFmtId="0" fontId="1" fillId="0" borderId="11" xfId="0" applyFont="1" applyBorder="1"/>
    <xf numFmtId="166" fontId="0" fillId="3" borderId="12" xfId="0" applyNumberFormat="1" applyFill="1" applyBorder="1" applyProtection="1">
      <protection locked="0"/>
    </xf>
    <xf numFmtId="166" fontId="0" fillId="0" borderId="10" xfId="0" applyNumberFormat="1" applyBorder="1"/>
    <xf numFmtId="166" fontId="0" fillId="3" borderId="10" xfId="0" applyNumberFormat="1" applyFill="1" applyBorder="1" applyProtection="1">
      <protection locked="0"/>
    </xf>
    <xf numFmtId="0" fontId="16" fillId="0" borderId="0" xfId="0" applyFont="1" applyAlignment="1">
      <alignment vertical="top" wrapText="1"/>
    </xf>
    <xf numFmtId="3" fontId="0" fillId="3" borderId="10" xfId="0" applyNumberFormat="1" applyFill="1" applyBorder="1" applyProtection="1">
      <protection locked="0"/>
    </xf>
    <xf numFmtId="3" fontId="0" fillId="0" borderId="10" xfId="0" applyNumberFormat="1" applyBorder="1"/>
    <xf numFmtId="164" fontId="0" fillId="3" borderId="10" xfId="0" applyNumberFormat="1" applyFill="1" applyBorder="1" applyProtection="1">
      <protection locked="0"/>
    </xf>
    <xf numFmtId="164" fontId="0" fillId="0" borderId="10" xfId="0" applyNumberFormat="1" applyBorder="1"/>
    <xf numFmtId="167" fontId="0" fillId="3" borderId="10" xfId="1" applyNumberFormat="1" applyFont="1" applyFill="1" applyBorder="1" applyProtection="1">
      <protection locked="0"/>
    </xf>
    <xf numFmtId="167" fontId="0" fillId="0" borderId="10" xfId="1" applyNumberFormat="1" applyFont="1" applyFill="1" applyBorder="1" applyProtection="1"/>
    <xf numFmtId="0" fontId="0" fillId="3" borderId="10" xfId="0" applyFill="1" applyBorder="1" applyProtection="1">
      <protection locked="0"/>
    </xf>
    <xf numFmtId="166" fontId="0" fillId="0" borderId="0" xfId="0" applyNumberFormat="1"/>
    <xf numFmtId="0" fontId="1" fillId="0" borderId="10" xfId="0" applyFont="1" applyBorder="1" applyAlignment="1">
      <alignment horizontal="left"/>
    </xf>
    <xf numFmtId="0" fontId="0" fillId="0" borderId="10" xfId="0" applyBorder="1" applyAlignment="1">
      <alignment horizontal="left" vertical="center"/>
    </xf>
    <xf numFmtId="169" fontId="0" fillId="0" borderId="0" xfId="0" applyNumberFormat="1"/>
    <xf numFmtId="164" fontId="0" fillId="0" borderId="10" xfId="0" applyNumberFormat="1" applyBorder="1" applyAlignment="1">
      <alignment horizontal="right"/>
    </xf>
    <xf numFmtId="0" fontId="1" fillId="0" borderId="10" xfId="0" applyFont="1" applyBorder="1" applyAlignment="1">
      <alignment horizontal="left" vertical="center"/>
    </xf>
    <xf numFmtId="164" fontId="1" fillId="0" borderId="10" xfId="0" applyNumberFormat="1" applyFont="1" applyBorder="1"/>
    <xf numFmtId="0" fontId="20" fillId="0" borderId="0" xfId="0" applyFont="1"/>
    <xf numFmtId="164" fontId="20" fillId="0" borderId="0" xfId="0" applyNumberFormat="1" applyFont="1"/>
    <xf numFmtId="0" fontId="8" fillId="0" borderId="0" xfId="3" applyFont="1" applyBorder="1"/>
    <xf numFmtId="0" fontId="0" fillId="0" borderId="4" xfId="0" applyFill="1" applyBorder="1" applyAlignment="1">
      <alignment horizontal="left" vertical="top" wrapText="1"/>
    </xf>
    <xf numFmtId="0" fontId="0" fillId="0" borderId="0" xfId="0" applyFill="1" applyBorder="1" applyAlignment="1">
      <alignment horizontal="left" vertical="top" wrapText="1"/>
    </xf>
    <xf numFmtId="0" fontId="0" fillId="0" borderId="5" xfId="0" applyFill="1" applyBorder="1" applyAlignment="1">
      <alignment horizontal="left" vertical="top" wrapText="1"/>
    </xf>
    <xf numFmtId="0" fontId="0" fillId="0" borderId="0" xfId="0" applyAlignment="1">
      <alignment horizontal="left" vertical="center" wrapText="1"/>
    </xf>
    <xf numFmtId="0" fontId="16" fillId="0" borderId="0" xfId="0" applyFont="1" applyAlignment="1">
      <alignment horizontal="left" vertical="top" wrapText="1"/>
    </xf>
    <xf numFmtId="0" fontId="1" fillId="0" borderId="10" xfId="0" applyFont="1" applyBorder="1" applyAlignment="1">
      <alignment horizontal="center" vertical="center"/>
    </xf>
    <xf numFmtId="164" fontId="15" fillId="0" borderId="10" xfId="0" applyNumberFormat="1" applyFont="1" applyBorder="1" applyAlignment="1">
      <alignment horizontal="center" vertical="center"/>
    </xf>
    <xf numFmtId="0" fontId="15" fillId="0" borderId="10" xfId="0" applyFont="1" applyBorder="1" applyAlignment="1">
      <alignment horizontal="center" vertical="center"/>
    </xf>
    <xf numFmtId="2" fontId="15" fillId="0" borderId="10" xfId="0" applyNumberFormat="1" applyFont="1" applyBorder="1" applyAlignment="1">
      <alignment horizontal="center" vertical="center" wrapText="1"/>
    </xf>
    <xf numFmtId="0" fontId="16" fillId="0" borderId="0" xfId="0" applyFont="1" applyAlignment="1">
      <alignment horizontal="left" vertical="center" wrapText="1"/>
    </xf>
  </cellXfs>
  <cellStyles count="7">
    <cellStyle name="Berekening" xfId="6" builtinId="22"/>
    <cellStyle name="Procent" xfId="1" builtinId="5"/>
    <cellStyle name="Standaard" xfId="0" builtinId="0"/>
    <cellStyle name="Standaard 13 2" xfId="4" xr:uid="{3345C688-1F2A-453D-A8D3-100ADC2213B2}"/>
    <cellStyle name="Standaard 2" xfId="3" xr:uid="{9A0F6885-0128-42A9-BDA1-5FED5645E29C}"/>
    <cellStyle name="Standaard 2 3" xfId="5" xr:uid="{9D688CA2-07B5-4BE5-B897-981F5098DC6C}"/>
    <cellStyle name="Standaard_Export" xfId="2" xr:uid="{7B5783C8-D10C-44B4-BCC1-A2656D72F134}"/>
  </cellStyles>
  <dxfs count="3">
    <dxf>
      <font>
        <b val="0"/>
        <i val="0"/>
        <color auto="1"/>
      </font>
    </dxf>
    <dxf>
      <font>
        <b val="0"/>
        <i val="0"/>
        <color auto="1"/>
      </font>
    </dxf>
    <dxf>
      <font>
        <b val="0"/>
        <i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1813560</xdr:colOff>
      <xdr:row>7</xdr:row>
      <xdr:rowOff>87630</xdr:rowOff>
    </xdr:from>
    <xdr:to>
      <xdr:col>4</xdr:col>
      <xdr:colOff>182880</xdr:colOff>
      <xdr:row>7</xdr:row>
      <xdr:rowOff>91440</xdr:rowOff>
    </xdr:to>
    <xdr:cxnSp macro="">
      <xdr:nvCxnSpPr>
        <xdr:cNvPr id="2" name="Rechte verbindingslijn met pijl 1">
          <a:extLst>
            <a:ext uri="{FF2B5EF4-FFF2-40B4-BE49-F238E27FC236}">
              <a16:creationId xmlns:a16="http://schemas.microsoft.com/office/drawing/2014/main" id="{21A2B27A-64D8-4549-B70E-BFA4CE115A8B}"/>
            </a:ext>
          </a:extLst>
        </xdr:cNvPr>
        <xdr:cNvCxnSpPr/>
      </xdr:nvCxnSpPr>
      <xdr:spPr>
        <a:xfrm flipV="1">
          <a:off x="7419703" y="1481001"/>
          <a:ext cx="257991" cy="381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1836420</xdr:colOff>
      <xdr:row>6</xdr:row>
      <xdr:rowOff>110490</xdr:rowOff>
    </xdr:from>
    <xdr:to>
      <xdr:col>4</xdr:col>
      <xdr:colOff>179070</xdr:colOff>
      <xdr:row>6</xdr:row>
      <xdr:rowOff>160020</xdr:rowOff>
    </xdr:to>
    <xdr:cxnSp macro="">
      <xdr:nvCxnSpPr>
        <xdr:cNvPr id="3" name="Rechte verbindingslijn met pijl 2">
          <a:extLst>
            <a:ext uri="{FF2B5EF4-FFF2-40B4-BE49-F238E27FC236}">
              <a16:creationId xmlns:a16="http://schemas.microsoft.com/office/drawing/2014/main" id="{4DE86C9D-0AEF-4FD5-BD5D-8A1D413010F7}"/>
            </a:ext>
          </a:extLst>
        </xdr:cNvPr>
        <xdr:cNvCxnSpPr/>
      </xdr:nvCxnSpPr>
      <xdr:spPr>
        <a:xfrm>
          <a:off x="7442563" y="1269819"/>
          <a:ext cx="231321" cy="4953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1813560</xdr:colOff>
      <xdr:row>7</xdr:row>
      <xdr:rowOff>87630</xdr:rowOff>
    </xdr:from>
    <xdr:to>
      <xdr:col>4</xdr:col>
      <xdr:colOff>182880</xdr:colOff>
      <xdr:row>7</xdr:row>
      <xdr:rowOff>91440</xdr:rowOff>
    </xdr:to>
    <xdr:cxnSp macro="">
      <xdr:nvCxnSpPr>
        <xdr:cNvPr id="2" name="Rechte verbindingslijn met pijl 1">
          <a:extLst>
            <a:ext uri="{FF2B5EF4-FFF2-40B4-BE49-F238E27FC236}">
              <a16:creationId xmlns:a16="http://schemas.microsoft.com/office/drawing/2014/main" id="{C50ED984-D046-413A-8837-4769292204F8}"/>
            </a:ext>
          </a:extLst>
        </xdr:cNvPr>
        <xdr:cNvCxnSpPr/>
      </xdr:nvCxnSpPr>
      <xdr:spPr>
        <a:xfrm flipV="1">
          <a:off x="7419703" y="1481001"/>
          <a:ext cx="257991" cy="381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1836420</xdr:colOff>
      <xdr:row>6</xdr:row>
      <xdr:rowOff>110490</xdr:rowOff>
    </xdr:from>
    <xdr:to>
      <xdr:col>4</xdr:col>
      <xdr:colOff>179070</xdr:colOff>
      <xdr:row>6</xdr:row>
      <xdr:rowOff>160020</xdr:rowOff>
    </xdr:to>
    <xdr:cxnSp macro="">
      <xdr:nvCxnSpPr>
        <xdr:cNvPr id="3" name="Rechte verbindingslijn met pijl 2">
          <a:extLst>
            <a:ext uri="{FF2B5EF4-FFF2-40B4-BE49-F238E27FC236}">
              <a16:creationId xmlns:a16="http://schemas.microsoft.com/office/drawing/2014/main" id="{5C79C15F-7328-4E14-A317-B19B06FE9989}"/>
            </a:ext>
          </a:extLst>
        </xdr:cNvPr>
        <xdr:cNvCxnSpPr/>
      </xdr:nvCxnSpPr>
      <xdr:spPr>
        <a:xfrm>
          <a:off x="7442563" y="1269819"/>
          <a:ext cx="231321" cy="4953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1813560</xdr:colOff>
      <xdr:row>7</xdr:row>
      <xdr:rowOff>87630</xdr:rowOff>
    </xdr:from>
    <xdr:to>
      <xdr:col>4</xdr:col>
      <xdr:colOff>182880</xdr:colOff>
      <xdr:row>7</xdr:row>
      <xdr:rowOff>91440</xdr:rowOff>
    </xdr:to>
    <xdr:cxnSp macro="">
      <xdr:nvCxnSpPr>
        <xdr:cNvPr id="2" name="Rechte verbindingslijn met pijl 1">
          <a:extLst>
            <a:ext uri="{FF2B5EF4-FFF2-40B4-BE49-F238E27FC236}">
              <a16:creationId xmlns:a16="http://schemas.microsoft.com/office/drawing/2014/main" id="{31EDD56D-EEBE-4245-891D-3716FF6628A1}"/>
            </a:ext>
          </a:extLst>
        </xdr:cNvPr>
        <xdr:cNvCxnSpPr/>
      </xdr:nvCxnSpPr>
      <xdr:spPr>
        <a:xfrm flipV="1">
          <a:off x="7419703" y="1481001"/>
          <a:ext cx="257991" cy="381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1836420</xdr:colOff>
      <xdr:row>6</xdr:row>
      <xdr:rowOff>110490</xdr:rowOff>
    </xdr:from>
    <xdr:to>
      <xdr:col>4</xdr:col>
      <xdr:colOff>179070</xdr:colOff>
      <xdr:row>6</xdr:row>
      <xdr:rowOff>160020</xdr:rowOff>
    </xdr:to>
    <xdr:cxnSp macro="">
      <xdr:nvCxnSpPr>
        <xdr:cNvPr id="3" name="Rechte verbindingslijn met pijl 2">
          <a:extLst>
            <a:ext uri="{FF2B5EF4-FFF2-40B4-BE49-F238E27FC236}">
              <a16:creationId xmlns:a16="http://schemas.microsoft.com/office/drawing/2014/main" id="{A39E0433-29B5-471C-9C55-88E04367F829}"/>
            </a:ext>
          </a:extLst>
        </xdr:cNvPr>
        <xdr:cNvCxnSpPr/>
      </xdr:nvCxnSpPr>
      <xdr:spPr>
        <a:xfrm>
          <a:off x="7442563" y="1269819"/>
          <a:ext cx="231321" cy="4953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CB7B7-AD9E-4431-8F28-85F952CFC943}">
  <sheetPr>
    <tabColor theme="8" tint="0.79998168889431442"/>
  </sheetPr>
  <dimension ref="A2:N34"/>
  <sheetViews>
    <sheetView tabSelected="1" zoomScale="70" zoomScaleNormal="70" workbookViewId="0">
      <selection activeCell="A18" sqref="A18"/>
    </sheetView>
  </sheetViews>
  <sheetFormatPr defaultRowHeight="14.6" x14ac:dyDescent="0.4"/>
  <cols>
    <col min="2" max="2" width="57.69140625" bestFit="1" customWidth="1"/>
    <col min="3" max="3" width="12.53515625" bestFit="1" customWidth="1"/>
    <col min="4" max="4" width="12.53515625" customWidth="1"/>
    <col min="5" max="5" width="12" bestFit="1" customWidth="1"/>
    <col min="6" max="6" width="10.53515625" bestFit="1" customWidth="1"/>
    <col min="11" max="11" width="17.3046875" customWidth="1"/>
    <col min="12" max="12" width="28" bestFit="1" customWidth="1"/>
    <col min="14" max="14" width="140.07421875" bestFit="1" customWidth="1"/>
  </cols>
  <sheetData>
    <row r="2" spans="1:14" ht="20.6" x14ac:dyDescent="0.55000000000000004">
      <c r="B2" s="33" t="s">
        <v>110</v>
      </c>
    </row>
    <row r="4" spans="1:14" x14ac:dyDescent="0.4">
      <c r="B4" s="1" t="s">
        <v>165</v>
      </c>
      <c r="K4" s="1" t="s">
        <v>13</v>
      </c>
      <c r="N4" s="1" t="s">
        <v>16</v>
      </c>
    </row>
    <row r="5" spans="1:14" ht="43.75" x14ac:dyDescent="0.4">
      <c r="B5" s="1" t="s">
        <v>0</v>
      </c>
      <c r="E5" s="14" t="s">
        <v>108</v>
      </c>
      <c r="F5" s="1" t="s">
        <v>2</v>
      </c>
      <c r="H5" s="14" t="s">
        <v>53</v>
      </c>
      <c r="I5" s="14" t="s">
        <v>54</v>
      </c>
      <c r="K5" s="1"/>
      <c r="L5" s="1" t="s">
        <v>15</v>
      </c>
    </row>
    <row r="6" spans="1:14" x14ac:dyDescent="0.4">
      <c r="A6" t="s">
        <v>33</v>
      </c>
      <c r="B6" t="s">
        <v>21</v>
      </c>
      <c r="E6">
        <v>65.400000000000006</v>
      </c>
      <c r="F6" t="s">
        <v>20</v>
      </c>
      <c r="H6" s="3">
        <v>51.6</v>
      </c>
      <c r="I6" s="18">
        <f t="shared" ref="I6:I12" si="0">E6/H6-1</f>
        <v>0.26744186046511631</v>
      </c>
      <c r="L6">
        <v>75.599999999999994</v>
      </c>
    </row>
    <row r="7" spans="1:14" x14ac:dyDescent="0.4">
      <c r="A7" t="s">
        <v>34</v>
      </c>
      <c r="B7" t="s">
        <v>22</v>
      </c>
      <c r="E7">
        <v>94.2</v>
      </c>
      <c r="F7" t="s">
        <v>20</v>
      </c>
      <c r="H7" s="3">
        <v>95.399999999999991</v>
      </c>
      <c r="I7" s="18">
        <f t="shared" si="0"/>
        <v>-1.2578616352201144E-2</v>
      </c>
      <c r="L7">
        <v>98.4</v>
      </c>
    </row>
    <row r="8" spans="1:14" x14ac:dyDescent="0.4">
      <c r="A8" t="s">
        <v>35</v>
      </c>
      <c r="B8" t="s">
        <v>23</v>
      </c>
      <c r="E8">
        <v>67.2</v>
      </c>
      <c r="F8" t="s">
        <v>20</v>
      </c>
      <c r="H8" s="3">
        <v>55.199999999999996</v>
      </c>
      <c r="I8" s="18">
        <f t="shared" si="0"/>
        <v>0.21739130434782616</v>
      </c>
      <c r="L8">
        <v>71.400000000000006</v>
      </c>
    </row>
    <row r="9" spans="1:14" x14ac:dyDescent="0.4">
      <c r="A9" t="s">
        <v>36</v>
      </c>
      <c r="B9" t="s">
        <v>24</v>
      </c>
      <c r="E9">
        <v>94.8</v>
      </c>
      <c r="F9" t="s">
        <v>20</v>
      </c>
      <c r="H9" s="3">
        <v>64.8</v>
      </c>
      <c r="I9" s="18">
        <f t="shared" si="0"/>
        <v>0.46296296296296302</v>
      </c>
      <c r="L9">
        <v>99</v>
      </c>
    </row>
    <row r="10" spans="1:14" x14ac:dyDescent="0.4">
      <c r="A10" t="s">
        <v>37</v>
      </c>
      <c r="B10" t="s">
        <v>25</v>
      </c>
      <c r="E10">
        <v>97.2</v>
      </c>
      <c r="F10" t="s">
        <v>20</v>
      </c>
      <c r="H10" s="3">
        <v>101.39999999999999</v>
      </c>
      <c r="I10" s="18">
        <f t="shared" si="0"/>
        <v>-4.1420118343195145E-2</v>
      </c>
      <c r="L10">
        <v>100.8</v>
      </c>
    </row>
    <row r="11" spans="1:14" x14ac:dyDescent="0.4">
      <c r="A11" t="s">
        <v>38</v>
      </c>
      <c r="B11" t="s">
        <v>26</v>
      </c>
      <c r="E11">
        <v>103.2</v>
      </c>
      <c r="F11" t="s">
        <v>20</v>
      </c>
      <c r="H11" s="3">
        <v>110.39999999999999</v>
      </c>
      <c r="I11" s="18">
        <f t="shared" si="0"/>
        <v>-6.5217391304347783E-2</v>
      </c>
      <c r="L11">
        <v>106.8</v>
      </c>
    </row>
    <row r="12" spans="1:14" x14ac:dyDescent="0.4">
      <c r="A12" t="s">
        <v>39</v>
      </c>
      <c r="B12" t="s">
        <v>27</v>
      </c>
      <c r="E12">
        <v>121.2</v>
      </c>
      <c r="F12" t="s">
        <v>20</v>
      </c>
      <c r="H12" s="3">
        <v>119.39999999999999</v>
      </c>
      <c r="I12" s="18">
        <f t="shared" si="0"/>
        <v>1.5075376884422287E-2</v>
      </c>
      <c r="L12">
        <v>115.8</v>
      </c>
    </row>
    <row r="13" spans="1:14" x14ac:dyDescent="0.4">
      <c r="A13" s="68" t="s">
        <v>44</v>
      </c>
      <c r="B13" s="68" t="s">
        <v>43</v>
      </c>
      <c r="C13" s="68"/>
      <c r="D13" s="68"/>
      <c r="E13" s="68"/>
      <c r="F13" s="68"/>
      <c r="G13" s="68"/>
      <c r="H13" s="69"/>
      <c r="I13" s="68"/>
      <c r="L13">
        <v>112.8</v>
      </c>
      <c r="N13" s="32" t="s">
        <v>166</v>
      </c>
    </row>
    <row r="14" spans="1:14" x14ac:dyDescent="0.4">
      <c r="A14">
        <v>54001</v>
      </c>
      <c r="B14" t="s">
        <v>28</v>
      </c>
      <c r="E14">
        <v>100.8</v>
      </c>
      <c r="F14" t="s">
        <v>20</v>
      </c>
      <c r="H14" s="3">
        <v>105</v>
      </c>
      <c r="I14" s="18">
        <f>E14/H14-1</f>
        <v>-4.0000000000000036E-2</v>
      </c>
      <c r="L14">
        <v>104.4</v>
      </c>
    </row>
    <row r="15" spans="1:14" x14ac:dyDescent="0.4">
      <c r="A15">
        <v>54002</v>
      </c>
      <c r="B15" t="s">
        <v>29</v>
      </c>
      <c r="E15">
        <v>120</v>
      </c>
      <c r="F15" t="s">
        <v>20</v>
      </c>
      <c r="H15" s="3">
        <v>121.2</v>
      </c>
      <c r="I15" s="18">
        <f>E15/H15-1</f>
        <v>-9.9009900990099098E-3</v>
      </c>
      <c r="L15">
        <v>131.4</v>
      </c>
    </row>
    <row r="17" spans="1:14" x14ac:dyDescent="0.4">
      <c r="A17" t="s">
        <v>41</v>
      </c>
      <c r="B17" t="s">
        <v>31</v>
      </c>
      <c r="E17">
        <v>100.8</v>
      </c>
      <c r="F17" t="s">
        <v>20</v>
      </c>
      <c r="H17" s="3">
        <v>104.39999999999999</v>
      </c>
      <c r="I17" s="18">
        <f>E17/H17-1</f>
        <v>-3.4482758620689613E-2</v>
      </c>
      <c r="L17">
        <v>105</v>
      </c>
    </row>
    <row r="18" spans="1:14" x14ac:dyDescent="0.4">
      <c r="A18" t="s">
        <v>42</v>
      </c>
      <c r="B18" t="s">
        <v>32</v>
      </c>
      <c r="H18" s="3"/>
      <c r="L18">
        <v>102.6</v>
      </c>
      <c r="N18" t="s">
        <v>185</v>
      </c>
    </row>
    <row r="19" spans="1:14" x14ac:dyDescent="0.4">
      <c r="A19" t="s">
        <v>40</v>
      </c>
      <c r="B19" t="s">
        <v>30</v>
      </c>
      <c r="E19">
        <v>189.6</v>
      </c>
      <c r="F19" t="s">
        <v>20</v>
      </c>
      <c r="H19" s="28">
        <v>863.21</v>
      </c>
      <c r="L19">
        <v>192</v>
      </c>
      <c r="N19" s="74" t="s">
        <v>173</v>
      </c>
    </row>
    <row r="20" spans="1:14" x14ac:dyDescent="0.4">
      <c r="A20" s="68" t="s">
        <v>168</v>
      </c>
      <c r="B20" s="70" t="s">
        <v>167</v>
      </c>
      <c r="C20" s="21"/>
      <c r="D20" s="21"/>
      <c r="E20" s="22"/>
      <c r="H20" s="28">
        <v>352.87</v>
      </c>
      <c r="N20" s="74"/>
    </row>
    <row r="21" spans="1:14" x14ac:dyDescent="0.4">
      <c r="A21" s="68" t="s">
        <v>169</v>
      </c>
      <c r="B21" s="70" t="s">
        <v>170</v>
      </c>
      <c r="C21" s="21"/>
      <c r="D21" s="21"/>
      <c r="E21" s="22"/>
      <c r="H21" s="28">
        <v>973.63</v>
      </c>
      <c r="N21" s="74"/>
    </row>
    <row r="22" spans="1:14" x14ac:dyDescent="0.4">
      <c r="A22" s="68" t="s">
        <v>172</v>
      </c>
      <c r="B22" s="70" t="s">
        <v>171</v>
      </c>
      <c r="C22" s="21"/>
      <c r="D22" s="21"/>
      <c r="E22" s="22"/>
      <c r="H22" s="28">
        <v>415.59</v>
      </c>
      <c r="N22" s="74"/>
    </row>
    <row r="23" spans="1:14" x14ac:dyDescent="0.4">
      <c r="G23" s="3"/>
    </row>
    <row r="24" spans="1:14" x14ac:dyDescent="0.4">
      <c r="A24" s="20"/>
      <c r="E24" s="19"/>
      <c r="H24" s="17"/>
    </row>
    <row r="25" spans="1:14" x14ac:dyDescent="0.4">
      <c r="A25" s="20"/>
      <c r="E25" s="19"/>
      <c r="H25" s="17"/>
    </row>
    <row r="26" spans="1:14" x14ac:dyDescent="0.4">
      <c r="B26" s="4" t="s">
        <v>17</v>
      </c>
      <c r="C26" s="5"/>
      <c r="D26" s="5"/>
      <c r="E26" s="5"/>
      <c r="F26" s="5"/>
      <c r="G26" s="6"/>
      <c r="H26" s="8"/>
      <c r="I26" s="8"/>
      <c r="J26" s="8"/>
    </row>
    <row r="27" spans="1:14" x14ac:dyDescent="0.4">
      <c r="B27" s="7" t="s">
        <v>48</v>
      </c>
      <c r="C27" s="8"/>
      <c r="D27" s="8"/>
      <c r="E27" s="8"/>
      <c r="F27" s="8"/>
      <c r="G27" s="9"/>
      <c r="H27" s="8"/>
      <c r="I27" s="8"/>
      <c r="J27" s="8"/>
    </row>
    <row r="28" spans="1:14" x14ac:dyDescent="0.4">
      <c r="B28" s="13" t="s">
        <v>45</v>
      </c>
      <c r="C28" s="8"/>
      <c r="D28" s="8"/>
      <c r="E28" s="8"/>
      <c r="F28" s="8"/>
      <c r="G28" s="9"/>
      <c r="H28" s="8"/>
      <c r="I28" s="8"/>
      <c r="J28" s="8"/>
    </row>
    <row r="29" spans="1:14" x14ac:dyDescent="0.4">
      <c r="B29" s="13" t="s">
        <v>46</v>
      </c>
      <c r="C29" s="8"/>
      <c r="D29" s="8"/>
      <c r="E29" s="8"/>
      <c r="F29" s="8"/>
      <c r="G29" s="9"/>
      <c r="H29" s="8"/>
      <c r="I29" s="8"/>
      <c r="J29" s="8"/>
    </row>
    <row r="30" spans="1:14" x14ac:dyDescent="0.4">
      <c r="B30" s="7" t="s">
        <v>49</v>
      </c>
      <c r="C30" s="8"/>
      <c r="D30" s="8"/>
      <c r="E30" s="8"/>
      <c r="F30" s="8"/>
      <c r="G30" s="9"/>
      <c r="H30" s="8"/>
      <c r="I30" s="8"/>
      <c r="J30" s="8"/>
    </row>
    <row r="31" spans="1:14" x14ac:dyDescent="0.4">
      <c r="B31" s="13" t="s">
        <v>47</v>
      </c>
      <c r="C31" s="8"/>
      <c r="D31" s="8"/>
      <c r="E31" s="8"/>
      <c r="F31" s="8"/>
      <c r="G31" s="9"/>
      <c r="H31" s="8"/>
      <c r="I31" s="8"/>
      <c r="J31" s="8"/>
    </row>
    <row r="32" spans="1:14" ht="50.25" customHeight="1" x14ac:dyDescent="0.4">
      <c r="B32" s="71" t="s">
        <v>55</v>
      </c>
      <c r="C32" s="72"/>
      <c r="D32" s="72"/>
      <c r="E32" s="72"/>
      <c r="F32" s="72"/>
      <c r="G32" s="73"/>
    </row>
    <row r="33" spans="2:7" ht="33.75" customHeight="1" x14ac:dyDescent="0.4">
      <c r="B33" s="71" t="s">
        <v>56</v>
      </c>
      <c r="C33" s="72"/>
      <c r="D33" s="72"/>
      <c r="E33" s="72"/>
      <c r="F33" s="72"/>
      <c r="G33" s="73"/>
    </row>
    <row r="34" spans="2:7" x14ac:dyDescent="0.4">
      <c r="B34" s="10" t="s">
        <v>57</v>
      </c>
      <c r="C34" s="11"/>
      <c r="D34" s="11"/>
      <c r="E34" s="11"/>
      <c r="F34" s="11"/>
      <c r="G34" s="12"/>
    </row>
  </sheetData>
  <mergeCells count="3">
    <mergeCell ref="B32:G32"/>
    <mergeCell ref="B33:G33"/>
    <mergeCell ref="N19:N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B4E61-C02B-4E65-8868-1C88DEB6AB6B}">
  <sheetPr>
    <tabColor theme="5" tint="0.79998168889431442"/>
  </sheetPr>
  <dimension ref="A2:N16"/>
  <sheetViews>
    <sheetView zoomScaleNormal="100" workbookViewId="0">
      <selection activeCell="B10" sqref="B10"/>
    </sheetView>
  </sheetViews>
  <sheetFormatPr defaultRowHeight="14.6" x14ac:dyDescent="0.4"/>
  <cols>
    <col min="2" max="2" width="57.69140625" bestFit="1" customWidth="1"/>
    <col min="3" max="3" width="12.53515625" bestFit="1" customWidth="1"/>
    <col min="4" max="4" width="12.53515625" customWidth="1"/>
    <col min="5" max="5" width="12" bestFit="1" customWidth="1"/>
    <col min="6" max="6" width="10.53515625" bestFit="1" customWidth="1"/>
    <col min="11" max="11" width="23.69140625" customWidth="1"/>
    <col min="12" max="12" width="28" bestFit="1" customWidth="1"/>
    <col min="14" max="14" width="55.84375" customWidth="1"/>
  </cols>
  <sheetData>
    <row r="2" spans="1:14" ht="20.6" x14ac:dyDescent="0.55000000000000004">
      <c r="B2" s="33" t="s">
        <v>110</v>
      </c>
    </row>
    <row r="4" spans="1:14" x14ac:dyDescent="0.4">
      <c r="B4" s="1" t="s">
        <v>90</v>
      </c>
      <c r="K4" s="1" t="s">
        <v>13</v>
      </c>
      <c r="N4" s="1" t="s">
        <v>16</v>
      </c>
    </row>
    <row r="5" spans="1:14" ht="43.75" x14ac:dyDescent="0.4">
      <c r="B5" s="1" t="s">
        <v>18</v>
      </c>
      <c r="D5" s="2" t="s">
        <v>19</v>
      </c>
      <c r="E5" s="14" t="s">
        <v>108</v>
      </c>
      <c r="F5" s="1" t="s">
        <v>2</v>
      </c>
      <c r="H5" s="14" t="s">
        <v>53</v>
      </c>
      <c r="I5" s="14" t="s">
        <v>54</v>
      </c>
      <c r="K5" s="1" t="s">
        <v>14</v>
      </c>
      <c r="L5" s="1" t="s">
        <v>15</v>
      </c>
    </row>
    <row r="6" spans="1:14" x14ac:dyDescent="0.4">
      <c r="A6" t="s">
        <v>174</v>
      </c>
      <c r="B6" s="20" t="s">
        <v>175</v>
      </c>
      <c r="D6" s="2"/>
      <c r="E6" s="31"/>
      <c r="F6" s="1"/>
      <c r="H6" s="14">
        <v>58.44</v>
      </c>
      <c r="I6" s="14"/>
      <c r="K6" s="1"/>
      <c r="L6" s="1"/>
      <c r="N6" t="s">
        <v>178</v>
      </c>
    </row>
    <row r="7" spans="1:14" x14ac:dyDescent="0.4">
      <c r="A7" t="s">
        <v>176</v>
      </c>
      <c r="B7" s="20" t="s">
        <v>177</v>
      </c>
      <c r="D7" s="2"/>
      <c r="E7" s="31"/>
      <c r="F7" s="1"/>
      <c r="H7" s="14">
        <v>108.37</v>
      </c>
      <c r="I7" s="14"/>
      <c r="K7" s="1"/>
      <c r="L7" s="1"/>
      <c r="N7" t="s">
        <v>178</v>
      </c>
    </row>
    <row r="8" spans="1:14" x14ac:dyDescent="0.4">
      <c r="B8" s="1"/>
      <c r="D8" s="2"/>
      <c r="E8" s="14"/>
      <c r="F8" s="1"/>
      <c r="H8" s="14"/>
      <c r="I8" s="14"/>
      <c r="K8" s="1"/>
      <c r="L8" s="1"/>
    </row>
    <row r="9" spans="1:14" x14ac:dyDescent="0.4">
      <c r="A9" t="s">
        <v>88</v>
      </c>
      <c r="B9" t="s">
        <v>89</v>
      </c>
      <c r="E9" s="3">
        <v>38.03</v>
      </c>
      <c r="F9" t="s">
        <v>5</v>
      </c>
      <c r="H9" s="3">
        <v>19.27</v>
      </c>
      <c r="I9" s="18">
        <f>E9/H9-1</f>
        <v>0.97353399065905566</v>
      </c>
      <c r="N9" t="s">
        <v>179</v>
      </c>
    </row>
    <row r="10" spans="1:14" ht="29.15" x14ac:dyDescent="0.4">
      <c r="A10" t="s">
        <v>104</v>
      </c>
      <c r="B10" t="s">
        <v>91</v>
      </c>
      <c r="E10" s="3">
        <v>15.7</v>
      </c>
      <c r="F10" t="s">
        <v>20</v>
      </c>
      <c r="H10" s="3">
        <v>15.6</v>
      </c>
      <c r="I10" s="18">
        <f>E10/H10-1</f>
        <v>6.4102564102563875E-3</v>
      </c>
      <c r="N10" s="32" t="s">
        <v>180</v>
      </c>
    </row>
    <row r="13" spans="1:14" x14ac:dyDescent="0.4">
      <c r="B13" s="4" t="s">
        <v>17</v>
      </c>
      <c r="C13" s="5"/>
      <c r="D13" s="5"/>
      <c r="E13" s="5"/>
      <c r="F13" s="5"/>
      <c r="G13" s="6"/>
    </row>
    <row r="14" spans="1:14" x14ac:dyDescent="0.4">
      <c r="B14" s="7" t="s">
        <v>181</v>
      </c>
      <c r="G14" s="9"/>
    </row>
    <row r="15" spans="1:14" x14ac:dyDescent="0.4">
      <c r="B15" s="7"/>
      <c r="G15" s="9"/>
    </row>
    <row r="16" spans="1:14" x14ac:dyDescent="0.4">
      <c r="B16" s="10"/>
      <c r="C16" s="11"/>
      <c r="D16" s="11"/>
      <c r="E16" s="11"/>
      <c r="F16" s="11"/>
      <c r="G16" s="1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BA978-3AFE-48A6-94DC-586D34F89B45}">
  <sheetPr>
    <tabColor theme="9" tint="0.79998168889431442"/>
  </sheetPr>
  <dimension ref="A2:N38"/>
  <sheetViews>
    <sheetView zoomScale="70" zoomScaleNormal="70" workbookViewId="0">
      <selection activeCell="A14" sqref="A14"/>
    </sheetView>
  </sheetViews>
  <sheetFormatPr defaultRowHeight="14.6" x14ac:dyDescent="0.4"/>
  <cols>
    <col min="2" max="2" width="57.69140625" bestFit="1" customWidth="1"/>
    <col min="3" max="3" width="12.53515625" bestFit="1" customWidth="1"/>
    <col min="4" max="4" width="12.53515625" customWidth="1"/>
    <col min="5" max="5" width="12" bestFit="1" customWidth="1"/>
    <col min="6" max="6" width="10.53515625" bestFit="1" customWidth="1"/>
    <col min="11" max="11" width="17.3046875" customWidth="1"/>
    <col min="12" max="12" width="28" bestFit="1" customWidth="1"/>
    <col min="14" max="14" width="140.07421875" bestFit="1" customWidth="1"/>
  </cols>
  <sheetData>
    <row r="2" spans="1:14" ht="20.6" x14ac:dyDescent="0.55000000000000004">
      <c r="B2" s="33" t="s">
        <v>110</v>
      </c>
    </row>
    <row r="4" spans="1:14" x14ac:dyDescent="0.4">
      <c r="B4" s="1" t="s">
        <v>109</v>
      </c>
      <c r="G4" s="1"/>
      <c r="H4" s="1"/>
      <c r="I4" s="1"/>
      <c r="J4" s="1"/>
      <c r="K4" s="1" t="s">
        <v>13</v>
      </c>
      <c r="M4" s="1"/>
      <c r="N4" s="1" t="s">
        <v>16</v>
      </c>
    </row>
    <row r="5" spans="1:14" ht="43.75" x14ac:dyDescent="0.4">
      <c r="B5" s="1" t="s">
        <v>0</v>
      </c>
      <c r="C5" s="1" t="s">
        <v>1</v>
      </c>
      <c r="D5" s="1" t="s">
        <v>14</v>
      </c>
      <c r="E5" s="14" t="s">
        <v>108</v>
      </c>
      <c r="F5" s="1" t="s">
        <v>2</v>
      </c>
      <c r="G5" s="1"/>
      <c r="H5" s="14" t="s">
        <v>53</v>
      </c>
      <c r="I5" s="14" t="s">
        <v>54</v>
      </c>
      <c r="J5" s="1"/>
      <c r="K5" s="1" t="s">
        <v>14</v>
      </c>
      <c r="L5" s="1" t="s">
        <v>15</v>
      </c>
      <c r="M5" s="1"/>
      <c r="N5" s="1"/>
    </row>
    <row r="6" spans="1:14" x14ac:dyDescent="0.4">
      <c r="A6" t="s">
        <v>71</v>
      </c>
      <c r="B6" t="s">
        <v>3</v>
      </c>
      <c r="C6" t="s">
        <v>4</v>
      </c>
      <c r="D6">
        <v>1.2</v>
      </c>
      <c r="E6" s="3">
        <v>126.58012377648205</v>
      </c>
      <c r="F6" t="s">
        <v>5</v>
      </c>
      <c r="H6" s="3">
        <v>105.01</v>
      </c>
      <c r="I6" s="18">
        <f>E6/H6-1</f>
        <v>0.20541018737722161</v>
      </c>
      <c r="K6">
        <v>1.2</v>
      </c>
      <c r="L6" s="3">
        <v>130.69</v>
      </c>
    </row>
    <row r="7" spans="1:14" x14ac:dyDescent="0.4">
      <c r="A7" t="s">
        <v>72</v>
      </c>
      <c r="B7" t="s">
        <v>6</v>
      </c>
      <c r="C7" t="s">
        <v>67</v>
      </c>
      <c r="D7">
        <v>2.5</v>
      </c>
      <c r="E7" s="3">
        <v>224.60342616580317</v>
      </c>
      <c r="F7" t="s">
        <v>5</v>
      </c>
      <c r="H7" s="3">
        <v>181.99</v>
      </c>
      <c r="I7" s="18">
        <f>E7/H7-1</f>
        <v>0.23415256973351917</v>
      </c>
      <c r="K7">
        <v>2.5</v>
      </c>
      <c r="L7" s="3">
        <v>232.96</v>
      </c>
    </row>
    <row r="8" spans="1:14" x14ac:dyDescent="0.4">
      <c r="A8" t="s">
        <v>74</v>
      </c>
      <c r="B8" t="s">
        <v>7</v>
      </c>
      <c r="C8" t="s">
        <v>68</v>
      </c>
      <c r="D8">
        <v>3</v>
      </c>
      <c r="E8" s="3">
        <v>262.864467170122</v>
      </c>
      <c r="F8" t="s">
        <v>5</v>
      </c>
      <c r="H8" s="3">
        <v>211.94</v>
      </c>
      <c r="I8" s="18">
        <f>E8/H8-1</f>
        <v>0.24027775394036999</v>
      </c>
      <c r="L8" s="3"/>
      <c r="N8" t="s">
        <v>105</v>
      </c>
    </row>
    <row r="9" spans="1:14" x14ac:dyDescent="0.4">
      <c r="A9" t="s">
        <v>73</v>
      </c>
      <c r="B9" t="s">
        <v>8</v>
      </c>
      <c r="C9" t="s">
        <v>69</v>
      </c>
      <c r="D9">
        <v>3.4</v>
      </c>
      <c r="E9" s="3">
        <v>294.17151815940497</v>
      </c>
      <c r="F9" t="s">
        <v>5</v>
      </c>
      <c r="H9" s="3">
        <v>255.77</v>
      </c>
      <c r="I9" s="18">
        <f>E9/H9-1</f>
        <v>0.15014082245535043</v>
      </c>
      <c r="K9">
        <v>3.7</v>
      </c>
      <c r="L9" s="3">
        <v>326.57</v>
      </c>
      <c r="N9" t="s">
        <v>106</v>
      </c>
    </row>
    <row r="10" spans="1:14" x14ac:dyDescent="0.4">
      <c r="A10" t="s">
        <v>75</v>
      </c>
      <c r="B10" t="s">
        <v>9</v>
      </c>
      <c r="C10" t="s">
        <v>70</v>
      </c>
      <c r="D10">
        <v>4</v>
      </c>
      <c r="E10" s="3">
        <v>339.38654917875954</v>
      </c>
      <c r="F10" t="s">
        <v>5</v>
      </c>
      <c r="H10" s="3">
        <v>310.3</v>
      </c>
      <c r="I10" s="18">
        <f>E10/H10-1</f>
        <v>9.3736864900933137E-2</v>
      </c>
      <c r="K10">
        <v>4.5</v>
      </c>
      <c r="L10" s="3">
        <v>391.08</v>
      </c>
      <c r="N10" t="s">
        <v>106</v>
      </c>
    </row>
    <row r="11" spans="1:14" x14ac:dyDescent="0.4">
      <c r="E11" s="3"/>
      <c r="H11" s="3"/>
      <c r="K11">
        <v>5.5</v>
      </c>
      <c r="L11" s="3"/>
      <c r="N11" t="s">
        <v>107</v>
      </c>
    </row>
    <row r="12" spans="1:14" x14ac:dyDescent="0.4">
      <c r="A12" s="68" t="s">
        <v>92</v>
      </c>
      <c r="B12" s="68" t="s">
        <v>93</v>
      </c>
      <c r="E12" s="3"/>
      <c r="H12" s="69">
        <v>153.91999999999999</v>
      </c>
      <c r="L12" s="3"/>
      <c r="N12" t="s">
        <v>164</v>
      </c>
    </row>
    <row r="13" spans="1:14" x14ac:dyDescent="0.4">
      <c r="A13" t="s">
        <v>80</v>
      </c>
      <c r="B13" t="s">
        <v>10</v>
      </c>
      <c r="C13" t="s">
        <v>11</v>
      </c>
      <c r="D13">
        <v>1.5</v>
      </c>
      <c r="E13" s="3">
        <v>164.06814362980509</v>
      </c>
      <c r="F13" t="s">
        <v>5</v>
      </c>
      <c r="H13" s="3">
        <v>167.25</v>
      </c>
      <c r="I13" s="18">
        <f>E13/H13-1</f>
        <v>-1.9024552288160912E-2</v>
      </c>
      <c r="K13">
        <v>1.5</v>
      </c>
      <c r="L13" s="3">
        <v>185.43</v>
      </c>
    </row>
    <row r="14" spans="1:14" x14ac:dyDescent="0.4">
      <c r="A14" t="s">
        <v>81</v>
      </c>
      <c r="B14" t="s">
        <v>12</v>
      </c>
      <c r="H14" s="3"/>
      <c r="I14" s="18"/>
      <c r="K14">
        <v>5.8</v>
      </c>
      <c r="L14" s="3">
        <v>498.27</v>
      </c>
      <c r="N14" t="s">
        <v>185</v>
      </c>
    </row>
    <row r="15" spans="1:14" x14ac:dyDescent="0.4">
      <c r="L15" s="3"/>
    </row>
    <row r="16" spans="1:14" x14ac:dyDescent="0.4">
      <c r="A16" s="24" t="s">
        <v>94</v>
      </c>
      <c r="B16" s="25" t="s">
        <v>95</v>
      </c>
      <c r="C16" s="23"/>
      <c r="D16" s="23"/>
      <c r="E16" s="26"/>
      <c r="H16" s="29">
        <v>135.54</v>
      </c>
      <c r="I16" s="18"/>
      <c r="L16" s="3"/>
      <c r="N16" t="s">
        <v>113</v>
      </c>
    </row>
    <row r="17" spans="1:14" x14ac:dyDescent="0.4">
      <c r="A17" s="24" t="s">
        <v>96</v>
      </c>
      <c r="B17" s="25" t="s">
        <v>97</v>
      </c>
      <c r="C17" s="23"/>
      <c r="D17" s="23"/>
      <c r="E17" s="26"/>
      <c r="H17" s="29">
        <v>189.19</v>
      </c>
      <c r="I17" s="18"/>
      <c r="L17" s="3"/>
      <c r="N17" t="s">
        <v>113</v>
      </c>
    </row>
    <row r="18" spans="1:14" x14ac:dyDescent="0.4">
      <c r="A18" s="24" t="s">
        <v>98</v>
      </c>
      <c r="B18" s="25" t="s">
        <v>99</v>
      </c>
      <c r="C18" s="23"/>
      <c r="D18" s="23"/>
      <c r="E18" s="26"/>
      <c r="H18" s="29">
        <v>242.83</v>
      </c>
      <c r="I18" s="18"/>
      <c r="L18" s="3"/>
      <c r="N18" t="s">
        <v>113</v>
      </c>
    </row>
    <row r="19" spans="1:14" x14ac:dyDescent="0.4">
      <c r="A19" s="24" t="s">
        <v>100</v>
      </c>
      <c r="B19" s="25" t="s">
        <v>101</v>
      </c>
      <c r="C19" s="23"/>
      <c r="D19" s="23"/>
      <c r="E19" s="26"/>
      <c r="H19" s="29">
        <v>296.48</v>
      </c>
      <c r="I19" s="18"/>
      <c r="L19" s="3"/>
      <c r="N19" t="s">
        <v>113</v>
      </c>
    </row>
    <row r="20" spans="1:14" x14ac:dyDescent="0.4">
      <c r="A20" s="24" t="s">
        <v>102</v>
      </c>
      <c r="B20" s="25" t="s">
        <v>103</v>
      </c>
      <c r="C20" s="23"/>
      <c r="D20" s="23"/>
      <c r="E20" s="26"/>
      <c r="H20" s="29">
        <v>403.77</v>
      </c>
      <c r="I20" s="18"/>
      <c r="L20" s="3"/>
      <c r="N20" t="s">
        <v>113</v>
      </c>
    </row>
    <row r="21" spans="1:14" x14ac:dyDescent="0.4">
      <c r="A21" t="s">
        <v>76</v>
      </c>
      <c r="B21" t="s">
        <v>77</v>
      </c>
      <c r="C21" s="27" t="s">
        <v>111</v>
      </c>
      <c r="D21" s="27">
        <v>5.6</v>
      </c>
      <c r="E21" s="30">
        <v>450.65</v>
      </c>
      <c r="F21" t="s">
        <v>5</v>
      </c>
      <c r="H21" s="3">
        <v>457.42</v>
      </c>
      <c r="I21" s="18">
        <f>E21/H21-1</f>
        <v>-1.4800402256132328E-2</v>
      </c>
      <c r="L21" s="3"/>
    </row>
    <row r="22" spans="1:14" x14ac:dyDescent="0.4">
      <c r="A22" t="s">
        <v>78</v>
      </c>
      <c r="B22" t="s">
        <v>79</v>
      </c>
      <c r="C22" t="s">
        <v>112</v>
      </c>
      <c r="D22">
        <v>8.5</v>
      </c>
      <c r="E22" s="3">
        <v>638.08000000000004</v>
      </c>
      <c r="F22" t="s">
        <v>5</v>
      </c>
      <c r="H22" s="3">
        <v>645.17999999999995</v>
      </c>
      <c r="I22" s="18">
        <f>E22/H22-1</f>
        <v>-1.1004680864254768E-2</v>
      </c>
      <c r="L22" s="3"/>
    </row>
    <row r="24" spans="1:14" x14ac:dyDescent="0.4">
      <c r="B24" s="4" t="s">
        <v>17</v>
      </c>
      <c r="C24" s="5"/>
      <c r="D24" s="5"/>
      <c r="E24" s="5"/>
      <c r="F24" s="5"/>
      <c r="G24" s="6"/>
      <c r="H24" s="8"/>
      <c r="I24" s="8"/>
      <c r="J24" s="8"/>
    </row>
    <row r="25" spans="1:14" x14ac:dyDescent="0.4">
      <c r="B25" s="7" t="s">
        <v>50</v>
      </c>
      <c r="C25" s="8"/>
      <c r="D25" s="8"/>
      <c r="E25" s="8"/>
      <c r="F25" s="8"/>
      <c r="G25" s="9"/>
      <c r="H25" s="8"/>
      <c r="I25" s="8"/>
      <c r="J25" s="8"/>
    </row>
    <row r="26" spans="1:14" x14ac:dyDescent="0.4">
      <c r="B26" s="7" t="s">
        <v>51</v>
      </c>
      <c r="C26" s="8"/>
      <c r="D26" s="8"/>
      <c r="E26" s="8"/>
      <c r="F26" s="8"/>
      <c r="G26" s="9"/>
      <c r="H26" s="8"/>
      <c r="I26" s="8"/>
      <c r="J26" s="8"/>
    </row>
    <row r="27" spans="1:14" x14ac:dyDescent="0.4">
      <c r="B27" s="10" t="s">
        <v>52</v>
      </c>
      <c r="C27" s="11"/>
      <c r="D27" s="11"/>
      <c r="E27" s="11"/>
      <c r="F27" s="11"/>
      <c r="G27" s="12"/>
      <c r="H27" s="8"/>
      <c r="I27" s="8"/>
      <c r="J27" s="8"/>
    </row>
    <row r="30" spans="1:14" ht="43.75" x14ac:dyDescent="0.4">
      <c r="B30" s="1" t="s">
        <v>0</v>
      </c>
      <c r="C30" s="1" t="s">
        <v>1</v>
      </c>
      <c r="E30" s="14" t="s">
        <v>108</v>
      </c>
      <c r="F30" s="1" t="s">
        <v>2</v>
      </c>
    </row>
    <row r="31" spans="1:14" x14ac:dyDescent="0.4">
      <c r="A31" s="15" t="s">
        <v>58</v>
      </c>
      <c r="B31" s="16" t="s">
        <v>59</v>
      </c>
      <c r="C31" t="s">
        <v>64</v>
      </c>
      <c r="E31" s="3">
        <v>164.18</v>
      </c>
      <c r="F31" t="s">
        <v>5</v>
      </c>
      <c r="N31" t="s">
        <v>184</v>
      </c>
    </row>
    <row r="32" spans="1:14" x14ac:dyDescent="0.4">
      <c r="A32" s="15" t="s">
        <v>60</v>
      </c>
      <c r="B32" s="16" t="s">
        <v>61</v>
      </c>
      <c r="C32" t="s">
        <v>65</v>
      </c>
      <c r="E32" s="3">
        <v>183.01</v>
      </c>
      <c r="F32" t="s">
        <v>5</v>
      </c>
      <c r="N32" t="s">
        <v>183</v>
      </c>
    </row>
    <row r="33" spans="1:14" x14ac:dyDescent="0.4">
      <c r="A33" s="15" t="s">
        <v>62</v>
      </c>
      <c r="B33" s="16" t="s">
        <v>63</v>
      </c>
      <c r="C33" t="s">
        <v>66</v>
      </c>
      <c r="E33" s="3">
        <v>211.26</v>
      </c>
      <c r="F33" t="s">
        <v>5</v>
      </c>
      <c r="N33" t="s">
        <v>182</v>
      </c>
    </row>
    <row r="36" spans="1:14" x14ac:dyDescent="0.4">
      <c r="A36" t="s">
        <v>82</v>
      </c>
      <c r="B36" t="s">
        <v>83</v>
      </c>
      <c r="E36" s="17">
        <f>ROUND(18587/365.25,2)</f>
        <v>50.89</v>
      </c>
      <c r="F36" t="s">
        <v>5</v>
      </c>
      <c r="N36" t="s">
        <v>162</v>
      </c>
    </row>
    <row r="37" spans="1:14" x14ac:dyDescent="0.4">
      <c r="A37" t="s">
        <v>84</v>
      </c>
      <c r="B37" t="s">
        <v>85</v>
      </c>
      <c r="E37" s="17">
        <f>ROUND(7585/72,2)</f>
        <v>105.35</v>
      </c>
      <c r="F37" t="s">
        <v>5</v>
      </c>
      <c r="N37" t="s">
        <v>162</v>
      </c>
    </row>
    <row r="38" spans="1:14" x14ac:dyDescent="0.4">
      <c r="A38" t="s">
        <v>86</v>
      </c>
      <c r="B38" t="s">
        <v>87</v>
      </c>
      <c r="E38" s="17">
        <f>ROUND(E36*136%,2)</f>
        <v>69.209999999999994</v>
      </c>
      <c r="F38" t="s">
        <v>5</v>
      </c>
      <c r="N38" t="s">
        <v>163</v>
      </c>
    </row>
  </sheetData>
  <phoneticPr fontId="5"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B69CB-DF71-4457-9045-16A9FB3434B6}">
  <sheetPr>
    <tabColor theme="9" tint="0.79998168889431442"/>
  </sheetPr>
  <dimension ref="B1:G40"/>
  <sheetViews>
    <sheetView workbookViewId="0">
      <selection activeCell="D17" sqref="D17"/>
    </sheetView>
  </sheetViews>
  <sheetFormatPr defaultRowHeight="14.6" x14ac:dyDescent="0.4"/>
  <cols>
    <col min="2" max="2" width="57.84375" customWidth="1"/>
    <col min="3" max="3" width="12.15234375" customWidth="1"/>
    <col min="4" max="4" width="26.69140625" customWidth="1"/>
    <col min="5" max="5" width="3" customWidth="1"/>
    <col min="6" max="6" width="22" customWidth="1"/>
    <col min="7" max="7" width="39.69140625" customWidth="1"/>
  </cols>
  <sheetData>
    <row r="1" spans="2:7" x14ac:dyDescent="0.4">
      <c r="B1" s="34" t="s">
        <v>114</v>
      </c>
      <c r="C1" s="35" t="s">
        <v>115</v>
      </c>
      <c r="D1" s="36" t="s">
        <v>116</v>
      </c>
      <c r="E1" s="76" t="s">
        <v>117</v>
      </c>
      <c r="F1" s="76"/>
    </row>
    <row r="2" spans="2:7" ht="14.6" customHeight="1" x14ac:dyDescent="0.4">
      <c r="B2" s="37" t="s">
        <v>118</v>
      </c>
      <c r="C2" s="38">
        <v>2</v>
      </c>
      <c r="D2" s="77">
        <f>IF(OR(SUM(C2:C2)=0,C3=0),"",C40)</f>
        <v>164.18079025861809</v>
      </c>
      <c r="E2" s="79" t="str">
        <f>IFERROR(TEXT(C31*7/(C17/(365/7))+C13/C15*1878/36+1/C4,"0,00")&amp;" fte per jeugdige","")</f>
        <v>0,41 fte per jeugdige</v>
      </c>
      <c r="F2" s="79"/>
    </row>
    <row r="3" spans="2:7" ht="14.6" customHeight="1" x14ac:dyDescent="0.4">
      <c r="B3" s="37" t="s">
        <v>119</v>
      </c>
      <c r="C3" s="38">
        <v>6</v>
      </c>
      <c r="D3" s="78"/>
      <c r="E3" s="79"/>
      <c r="F3" s="79"/>
    </row>
    <row r="4" spans="2:7" ht="14.6" customHeight="1" x14ac:dyDescent="0.4">
      <c r="B4" s="37" t="s">
        <v>120</v>
      </c>
      <c r="C4" s="39">
        <f>IFERROR(C3/C2,0)</f>
        <v>3</v>
      </c>
      <c r="D4" s="78"/>
      <c r="E4" s="79"/>
      <c r="F4" s="79"/>
    </row>
    <row r="5" spans="2:7" ht="18.45" x14ac:dyDescent="0.4">
      <c r="C5" s="40"/>
      <c r="D5" s="41"/>
      <c r="E5" s="42"/>
      <c r="F5" s="42"/>
    </row>
    <row r="6" spans="2:7" x14ac:dyDescent="0.4">
      <c r="D6" s="43" t="s">
        <v>121</v>
      </c>
      <c r="F6" s="44"/>
    </row>
    <row r="7" spans="2:7" ht="18.45" x14ac:dyDescent="0.5">
      <c r="C7" s="35" t="s">
        <v>122</v>
      </c>
      <c r="D7" s="45">
        <v>2023</v>
      </c>
      <c r="F7" s="46" t="s">
        <v>123</v>
      </c>
    </row>
    <row r="8" spans="2:7" x14ac:dyDescent="0.4">
      <c r="C8" s="35" t="s">
        <v>124</v>
      </c>
      <c r="D8" s="47">
        <v>4.9200000000000001E-2</v>
      </c>
      <c r="F8" s="48" t="str">
        <f>IF(OR(D7="",D8=""),"Vul in geval van indexatie zowel 'jaar' in als 'percentage'",IF(D8&lt;&gt;"","Let op! De indexatie verandert uitsluitend de standaardwaarden, niet kolom C!",""))</f>
        <v>Let op! De indexatie verandert uitsluitend de standaardwaarden, niet kolom C!</v>
      </c>
    </row>
    <row r="9" spans="2:7" ht="14.6" customHeight="1" x14ac:dyDescent="0.4">
      <c r="B9" s="49" t="s">
        <v>125</v>
      </c>
      <c r="C9" s="35" t="s">
        <v>126</v>
      </c>
      <c r="D9" s="35" t="str">
        <f>"(standaardwaarde pp"&amp;IF(OR(D7="",D8=""),2022,D7)&amp;")"</f>
        <v>(standaardwaarde pp2023)</v>
      </c>
      <c r="F9" s="80" t="s">
        <v>127</v>
      </c>
      <c r="G9" s="80"/>
    </row>
    <row r="10" spans="2:7" x14ac:dyDescent="0.4">
      <c r="B10" s="37" t="s">
        <v>128</v>
      </c>
      <c r="C10" s="50">
        <v>75542.399999999994</v>
      </c>
      <c r="D10" s="51">
        <f>(1+D8)*72000</f>
        <v>75542.399999999994</v>
      </c>
      <c r="F10" s="80"/>
      <c r="G10" s="80"/>
    </row>
    <row r="11" spans="2:7" x14ac:dyDescent="0.4">
      <c r="B11" s="37" t="s">
        <v>129</v>
      </c>
      <c r="C11" s="52">
        <v>12590.4</v>
      </c>
      <c r="D11" s="51">
        <f>(1+D8)*12000</f>
        <v>12590.4</v>
      </c>
      <c r="F11" s="53"/>
      <c r="G11" s="53"/>
    </row>
    <row r="12" spans="2:7" ht="14.6" customHeight="1" x14ac:dyDescent="0.4">
      <c r="B12" s="37" t="s">
        <v>130</v>
      </c>
      <c r="C12" s="52">
        <v>18256.079999999998</v>
      </c>
      <c r="D12" s="51">
        <f>(1+D8)*17400</f>
        <v>18256.079999999998</v>
      </c>
      <c r="F12" s="75" t="s">
        <v>131</v>
      </c>
      <c r="G12" s="75"/>
    </row>
    <row r="13" spans="2:7" x14ac:dyDescent="0.4">
      <c r="B13" s="37" t="s">
        <v>132</v>
      </c>
      <c r="C13" s="38">
        <v>1</v>
      </c>
      <c r="D13" s="39">
        <v>1</v>
      </c>
      <c r="F13" s="75"/>
      <c r="G13" s="75"/>
    </row>
    <row r="14" spans="2:7" x14ac:dyDescent="0.4">
      <c r="B14" s="37" t="s">
        <v>133</v>
      </c>
      <c r="C14" s="52">
        <v>116461.2</v>
      </c>
      <c r="D14" s="51">
        <f>(1+D8)*111000</f>
        <v>116461.2</v>
      </c>
      <c r="F14" s="75"/>
      <c r="G14" s="75"/>
    </row>
    <row r="15" spans="2:7" x14ac:dyDescent="0.4">
      <c r="B15" s="37" t="s">
        <v>134</v>
      </c>
      <c r="C15" s="54">
        <v>1300</v>
      </c>
      <c r="D15" s="55">
        <f>1300</f>
        <v>1300</v>
      </c>
      <c r="F15" s="75"/>
      <c r="G15" s="75"/>
    </row>
    <row r="16" spans="2:7" ht="14.6" customHeight="1" x14ac:dyDescent="0.4">
      <c r="B16" s="37" t="s">
        <v>135</v>
      </c>
      <c r="C16" s="38">
        <v>1</v>
      </c>
      <c r="D16" s="39">
        <v>1</v>
      </c>
      <c r="F16" s="75" t="s">
        <v>136</v>
      </c>
      <c r="G16" s="75"/>
    </row>
    <row r="17" spans="2:7" x14ac:dyDescent="0.4">
      <c r="B17" s="37" t="s">
        <v>137</v>
      </c>
      <c r="C17" s="52">
        <v>84985.2</v>
      </c>
      <c r="D17" s="51">
        <f>(1+D8)*81000</f>
        <v>84985.2</v>
      </c>
      <c r="F17" s="75"/>
      <c r="G17" s="75"/>
    </row>
    <row r="18" spans="2:7" x14ac:dyDescent="0.4">
      <c r="B18" s="37" t="s">
        <v>138</v>
      </c>
      <c r="C18" s="54">
        <v>1400</v>
      </c>
      <c r="D18" s="55">
        <v>1400</v>
      </c>
      <c r="F18" s="75"/>
      <c r="G18" s="75"/>
    </row>
    <row r="19" spans="2:7" x14ac:dyDescent="0.4">
      <c r="B19" s="37" t="s">
        <v>139</v>
      </c>
      <c r="C19" s="56">
        <v>12.590399999999999</v>
      </c>
      <c r="D19" s="57">
        <f>(1+D8)*12</f>
        <v>12.590399999999999</v>
      </c>
      <c r="F19" s="75"/>
      <c r="G19" s="75"/>
    </row>
    <row r="20" spans="2:7" x14ac:dyDescent="0.4">
      <c r="B20" s="37" t="s">
        <v>140</v>
      </c>
      <c r="C20" s="56">
        <v>16.262599999999999</v>
      </c>
      <c r="D20" s="57">
        <f>(1+D8)*15.5</f>
        <v>16.262599999999999</v>
      </c>
      <c r="F20" s="75"/>
      <c r="G20" s="75"/>
    </row>
    <row r="21" spans="2:7" x14ac:dyDescent="0.4">
      <c r="B21" s="37" t="s">
        <v>141</v>
      </c>
      <c r="C21" s="56">
        <v>15.738</v>
      </c>
      <c r="D21" s="57">
        <f>(1+D8)*15</f>
        <v>15.738</v>
      </c>
      <c r="F21" s="75"/>
      <c r="G21" s="75"/>
    </row>
    <row r="22" spans="2:7" x14ac:dyDescent="0.4">
      <c r="B22" s="37" t="s">
        <v>142</v>
      </c>
      <c r="C22" s="56">
        <v>0</v>
      </c>
      <c r="D22" s="57">
        <f>(1+D8)*0</f>
        <v>0</v>
      </c>
      <c r="F22" s="75"/>
      <c r="G22" s="75"/>
    </row>
    <row r="23" spans="2:7" x14ac:dyDescent="0.4">
      <c r="B23" s="37" t="s">
        <v>143</v>
      </c>
      <c r="C23" s="56"/>
      <c r="D23" s="57"/>
      <c r="F23" s="75"/>
      <c r="G23" s="75"/>
    </row>
    <row r="24" spans="2:7" x14ac:dyDescent="0.4">
      <c r="B24" s="37" t="s">
        <v>144</v>
      </c>
      <c r="C24" s="58">
        <v>0.03</v>
      </c>
      <c r="D24" s="59">
        <v>0.03</v>
      </c>
      <c r="F24" s="75"/>
      <c r="G24" s="75"/>
    </row>
    <row r="25" spans="2:7" x14ac:dyDescent="0.4">
      <c r="B25" s="37" t="s">
        <v>145</v>
      </c>
      <c r="C25" s="58">
        <v>0.03</v>
      </c>
      <c r="D25" s="59">
        <v>0.03</v>
      </c>
      <c r="F25" s="75"/>
      <c r="G25" s="75"/>
    </row>
    <row r="26" spans="2:7" x14ac:dyDescent="0.4">
      <c r="B26" s="37" t="s">
        <v>146</v>
      </c>
      <c r="C26" s="60">
        <v>0.35</v>
      </c>
      <c r="D26" s="37">
        <v>0.35</v>
      </c>
    </row>
    <row r="27" spans="2:7" ht="14.6" customHeight="1" x14ac:dyDescent="0.4">
      <c r="C27" s="61"/>
      <c r="D27" s="3"/>
      <c r="F27" s="75" t="s">
        <v>147</v>
      </c>
      <c r="G27" s="75"/>
    </row>
    <row r="28" spans="2:7" x14ac:dyDescent="0.4">
      <c r="B28" s="62" t="s">
        <v>148</v>
      </c>
      <c r="C28" s="35" t="s">
        <v>149</v>
      </c>
      <c r="D28" s="3"/>
      <c r="F28" s="75"/>
      <c r="G28" s="75"/>
    </row>
    <row r="29" spans="2:7" x14ac:dyDescent="0.4">
      <c r="B29" s="63" t="s">
        <v>150</v>
      </c>
      <c r="C29" s="57">
        <f>IFERROR(C2*C10/C3/365,"")</f>
        <v>68.988493150684931</v>
      </c>
      <c r="D29" s="3"/>
      <c r="F29" s="75"/>
      <c r="G29" s="75"/>
    </row>
    <row r="30" spans="2:7" x14ac:dyDescent="0.4">
      <c r="B30" s="63" t="s">
        <v>151</v>
      </c>
      <c r="C30" s="57">
        <f>C14/C15*C13/7</f>
        <v>12.797934065934067</v>
      </c>
      <c r="D30" s="40" t="str">
        <f>IF(C4&lt;&gt;0," (is "&amp;TEXT(7*C30/(C14/C15),"0,0")&amp;" uur per jeugdige week)","")</f>
        <v xml:space="preserve"> (is 1,0 uur per jeugdige week)</v>
      </c>
      <c r="F30" s="75"/>
      <c r="G30" s="75"/>
    </row>
    <row r="31" spans="2:7" x14ac:dyDescent="0.4">
      <c r="B31" s="63" t="s">
        <v>152</v>
      </c>
      <c r="C31" s="57">
        <f>IFERROR(C16/C18*1878/36*C17/365+IF((1/C4+C13/C15*1878/36+C16/C18*1878/36)&lt;C26,(C26-(1/C4+C13/C15*1878/36+C16/C18*1878/36))*C17/365,0),"")</f>
        <v>8.6759189823874738</v>
      </c>
      <c r="D31" s="40" t="str">
        <f>IFERROR(" (is "&amp;TEXT(7*C31/(C17/C18),"0,0")&amp;" uur per jeugdige week)","")</f>
        <v xml:space="preserve"> (is 1,0 uur per jeugdige week)</v>
      </c>
      <c r="F31" s="75"/>
      <c r="G31" s="75"/>
    </row>
    <row r="32" spans="2:7" x14ac:dyDescent="0.4">
      <c r="B32" s="63" t="s">
        <v>153</v>
      </c>
      <c r="C32" s="57">
        <f>C19</f>
        <v>12.590399999999999</v>
      </c>
      <c r="D32" s="64"/>
      <c r="F32" s="75"/>
      <c r="G32" s="75"/>
    </row>
    <row r="33" spans="2:7" x14ac:dyDescent="0.4">
      <c r="B33" s="63" t="s">
        <v>154</v>
      </c>
      <c r="C33" s="57">
        <f t="shared" ref="C33:C34" si="0">C20</f>
        <v>16.262599999999999</v>
      </c>
      <c r="D33" s="64"/>
      <c r="F33" s="75"/>
      <c r="G33" s="75"/>
    </row>
    <row r="34" spans="2:7" x14ac:dyDescent="0.4">
      <c r="B34" s="63" t="s">
        <v>155</v>
      </c>
      <c r="C34" s="57">
        <f t="shared" si="0"/>
        <v>15.738</v>
      </c>
      <c r="D34" s="64"/>
      <c r="F34" s="75"/>
      <c r="G34" s="75"/>
    </row>
    <row r="35" spans="2:7" x14ac:dyDescent="0.4">
      <c r="B35" s="63" t="s">
        <v>156</v>
      </c>
      <c r="C35" s="57">
        <f>IFERROR((C11*C2+C12)/C3/365,"")</f>
        <v>19.834191780821918</v>
      </c>
      <c r="D35" s="64"/>
      <c r="F35" s="75"/>
      <c r="G35" s="75"/>
    </row>
    <row r="36" spans="2:7" x14ac:dyDescent="0.4">
      <c r="B36" s="63" t="s">
        <v>157</v>
      </c>
      <c r="C36" s="57">
        <f>C22</f>
        <v>0</v>
      </c>
      <c r="D36" s="64"/>
      <c r="F36" s="75"/>
      <c r="G36" s="75"/>
    </row>
    <row r="37" spans="2:7" x14ac:dyDescent="0.4">
      <c r="B37" s="63" t="s">
        <v>158</v>
      </c>
      <c r="C37" s="57">
        <f>SUM(C29:C36)*C24</f>
        <v>4.6466261393948525</v>
      </c>
      <c r="D37" s="64"/>
      <c r="F37" s="75"/>
      <c r="G37" s="75"/>
    </row>
    <row r="38" spans="2:7" x14ac:dyDescent="0.4">
      <c r="B38" s="63" t="s">
        <v>159</v>
      </c>
      <c r="C38" s="57">
        <f>SUM(C29:C36)*C25</f>
        <v>4.6466261393948525</v>
      </c>
      <c r="D38" s="64"/>
      <c r="F38" s="75"/>
      <c r="G38" s="75"/>
    </row>
    <row r="39" spans="2:7" x14ac:dyDescent="0.4">
      <c r="B39" s="63" t="s">
        <v>160</v>
      </c>
      <c r="C39" s="65">
        <f>C23</f>
        <v>0</v>
      </c>
      <c r="D39" s="64"/>
      <c r="F39" s="75"/>
      <c r="G39" s="75"/>
    </row>
    <row r="40" spans="2:7" x14ac:dyDescent="0.4">
      <c r="B40" s="66" t="s">
        <v>161</v>
      </c>
      <c r="C40" s="67">
        <f>IF(OR(SUM(C2:C2)=0,C3=0),"",SUM(C29:C39))</f>
        <v>164.18079025861809</v>
      </c>
      <c r="F40" s="75"/>
      <c r="G40" s="75"/>
    </row>
  </sheetData>
  <mergeCells count="7">
    <mergeCell ref="F27:G40"/>
    <mergeCell ref="E1:F1"/>
    <mergeCell ref="D2:D4"/>
    <mergeCell ref="E2:F4"/>
    <mergeCell ref="F9:G10"/>
    <mergeCell ref="F12:G15"/>
    <mergeCell ref="F16:G25"/>
  </mergeCells>
  <conditionalFormatting sqref="F8">
    <cfRule type="expression" dxfId="2" priority="1">
      <formula>F8="Vul in geval van indexatie zowel 'jaar' in als 'percentage'"</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74F67-FBE1-44A2-902E-D2FD1EA5FDA6}">
  <sheetPr>
    <tabColor theme="9" tint="0.79998168889431442"/>
  </sheetPr>
  <dimension ref="B1:G40"/>
  <sheetViews>
    <sheetView workbookViewId="0">
      <selection activeCell="D17" sqref="D17"/>
    </sheetView>
  </sheetViews>
  <sheetFormatPr defaultRowHeight="14.6" x14ac:dyDescent="0.4"/>
  <cols>
    <col min="2" max="2" width="57.84375" customWidth="1"/>
    <col min="3" max="3" width="12.15234375" customWidth="1"/>
    <col min="4" max="4" width="26.69140625" customWidth="1"/>
    <col min="5" max="5" width="3" customWidth="1"/>
    <col min="6" max="6" width="22" customWidth="1"/>
    <col min="7" max="7" width="39.69140625" customWidth="1"/>
  </cols>
  <sheetData>
    <row r="1" spans="2:7" x14ac:dyDescent="0.4">
      <c r="B1" s="34" t="s">
        <v>114</v>
      </c>
      <c r="C1" s="35" t="s">
        <v>115</v>
      </c>
      <c r="D1" s="36" t="s">
        <v>116</v>
      </c>
      <c r="E1" s="76" t="s">
        <v>117</v>
      </c>
      <c r="F1" s="76"/>
    </row>
    <row r="2" spans="2:7" ht="14.6" customHeight="1" x14ac:dyDescent="0.4">
      <c r="B2" s="37" t="s">
        <v>118</v>
      </c>
      <c r="C2" s="38">
        <v>2</v>
      </c>
      <c r="D2" s="77">
        <f>IF(OR(SUM(C2:C2)=0,C3=0),"",C40)</f>
        <v>183.01119946409756</v>
      </c>
      <c r="E2" s="79" t="str">
        <f>IFERROR(TEXT(C31*7/(C17/(365/7))+C13/C15*1878/36+1/C4,"0,00")&amp;" fte per jeugdige","")</f>
        <v>0,48 fte per jeugdige</v>
      </c>
      <c r="F2" s="79"/>
    </row>
    <row r="3" spans="2:7" ht="14.6" customHeight="1" x14ac:dyDescent="0.4">
      <c r="B3" s="37" t="s">
        <v>119</v>
      </c>
      <c r="C3" s="38">
        <v>5</v>
      </c>
      <c r="D3" s="78"/>
      <c r="E3" s="79"/>
      <c r="F3" s="79"/>
    </row>
    <row r="4" spans="2:7" ht="14.6" customHeight="1" x14ac:dyDescent="0.4">
      <c r="B4" s="37" t="s">
        <v>120</v>
      </c>
      <c r="C4" s="39">
        <f>IFERROR(C3/C2,0)</f>
        <v>2.5</v>
      </c>
      <c r="D4" s="78"/>
      <c r="E4" s="79"/>
      <c r="F4" s="79"/>
    </row>
    <row r="5" spans="2:7" ht="18.45" x14ac:dyDescent="0.4">
      <c r="C5" s="40"/>
      <c r="D5" s="41"/>
      <c r="E5" s="42"/>
      <c r="F5" s="42"/>
    </row>
    <row r="6" spans="2:7" x14ac:dyDescent="0.4">
      <c r="D6" s="43" t="s">
        <v>121</v>
      </c>
      <c r="F6" s="44"/>
    </row>
    <row r="7" spans="2:7" ht="18.45" x14ac:dyDescent="0.5">
      <c r="C7" s="35" t="s">
        <v>122</v>
      </c>
      <c r="D7" s="45">
        <v>2023</v>
      </c>
      <c r="F7" s="46" t="s">
        <v>123</v>
      </c>
    </row>
    <row r="8" spans="2:7" x14ac:dyDescent="0.4">
      <c r="C8" s="35" t="s">
        <v>124</v>
      </c>
      <c r="D8" s="47">
        <v>4.9200000000000001E-2</v>
      </c>
      <c r="F8" s="48" t="str">
        <f>IF(OR(D7="",D8=""),"Vul in geval van indexatie zowel 'jaar' in als 'percentage'",IF(D8&lt;&gt;"","Let op! De indexatie verandert uitsluitend de standaardwaarden, niet kolom C!",""))</f>
        <v>Let op! De indexatie verandert uitsluitend de standaardwaarden, niet kolom C!</v>
      </c>
    </row>
    <row r="9" spans="2:7" ht="14.6" customHeight="1" x14ac:dyDescent="0.4">
      <c r="B9" s="49" t="s">
        <v>125</v>
      </c>
      <c r="C9" s="35" t="s">
        <v>126</v>
      </c>
      <c r="D9" s="35" t="str">
        <f>"(standaardwaarde pp"&amp;IF(OR(D7="",D8=""),2022,D7)&amp;")"</f>
        <v>(standaardwaarde pp2023)</v>
      </c>
      <c r="F9" s="80" t="s">
        <v>127</v>
      </c>
      <c r="G9" s="80"/>
    </row>
    <row r="10" spans="2:7" x14ac:dyDescent="0.4">
      <c r="B10" s="37" t="s">
        <v>128</v>
      </c>
      <c r="C10" s="50">
        <v>75542.399999999994</v>
      </c>
      <c r="D10" s="51">
        <f>(1+D8)*72000</f>
        <v>75542.399999999994</v>
      </c>
      <c r="F10" s="80"/>
      <c r="G10" s="80"/>
    </row>
    <row r="11" spans="2:7" x14ac:dyDescent="0.4">
      <c r="B11" s="37" t="s">
        <v>129</v>
      </c>
      <c r="C11" s="52">
        <v>12590.4</v>
      </c>
      <c r="D11" s="51">
        <f>(1+D8)*12000</f>
        <v>12590.4</v>
      </c>
      <c r="F11" s="53"/>
      <c r="G11" s="53"/>
    </row>
    <row r="12" spans="2:7" ht="14.6" customHeight="1" x14ac:dyDescent="0.4">
      <c r="B12" s="37" t="s">
        <v>130</v>
      </c>
      <c r="C12" s="52">
        <v>18256.079999999998</v>
      </c>
      <c r="D12" s="51">
        <f>(1+D8)*17400</f>
        <v>18256.079999999998</v>
      </c>
      <c r="F12" s="75" t="s">
        <v>131</v>
      </c>
      <c r="G12" s="75"/>
    </row>
    <row r="13" spans="2:7" x14ac:dyDescent="0.4">
      <c r="B13" s="37" t="s">
        <v>132</v>
      </c>
      <c r="C13" s="38">
        <v>1</v>
      </c>
      <c r="D13" s="39">
        <v>1</v>
      </c>
      <c r="F13" s="75"/>
      <c r="G13" s="75"/>
    </row>
    <row r="14" spans="2:7" x14ac:dyDescent="0.4">
      <c r="B14" s="37" t="s">
        <v>133</v>
      </c>
      <c r="C14" s="52">
        <v>116461.2</v>
      </c>
      <c r="D14" s="51">
        <f>(1+D8)*111000</f>
        <v>116461.2</v>
      </c>
      <c r="F14" s="75"/>
      <c r="G14" s="75"/>
    </row>
    <row r="15" spans="2:7" x14ac:dyDescent="0.4">
      <c r="B15" s="37" t="s">
        <v>134</v>
      </c>
      <c r="C15" s="54">
        <v>1300</v>
      </c>
      <c r="D15" s="55">
        <f>1300</f>
        <v>1300</v>
      </c>
      <c r="F15" s="75"/>
      <c r="G15" s="75"/>
    </row>
    <row r="16" spans="2:7" ht="14.6" customHeight="1" x14ac:dyDescent="0.4">
      <c r="B16" s="37" t="s">
        <v>135</v>
      </c>
      <c r="C16" s="38">
        <v>1</v>
      </c>
      <c r="D16" s="39">
        <v>1</v>
      </c>
      <c r="F16" s="75" t="s">
        <v>136</v>
      </c>
      <c r="G16" s="75"/>
    </row>
    <row r="17" spans="2:7" x14ac:dyDescent="0.4">
      <c r="B17" s="37" t="s">
        <v>137</v>
      </c>
      <c r="C17" s="52">
        <v>84985.2</v>
      </c>
      <c r="D17" s="51">
        <f>(1+D8)*81000</f>
        <v>84985.2</v>
      </c>
      <c r="F17" s="75"/>
      <c r="G17" s="75"/>
    </row>
    <row r="18" spans="2:7" x14ac:dyDescent="0.4">
      <c r="B18" s="37" t="s">
        <v>138</v>
      </c>
      <c r="C18" s="54">
        <v>1400</v>
      </c>
      <c r="D18" s="55">
        <v>1400</v>
      </c>
      <c r="F18" s="75"/>
      <c r="G18" s="75"/>
    </row>
    <row r="19" spans="2:7" x14ac:dyDescent="0.4">
      <c r="B19" s="37" t="s">
        <v>139</v>
      </c>
      <c r="C19" s="56">
        <v>12.590399999999999</v>
      </c>
      <c r="D19" s="57">
        <f>(1+D8)*12</f>
        <v>12.590399999999999</v>
      </c>
      <c r="F19" s="75"/>
      <c r="G19" s="75"/>
    </row>
    <row r="20" spans="2:7" x14ac:dyDescent="0.4">
      <c r="B20" s="37" t="s">
        <v>140</v>
      </c>
      <c r="C20" s="56">
        <v>16.262599999999999</v>
      </c>
      <c r="D20" s="57">
        <f>(1+D8)*15.5</f>
        <v>16.262599999999999</v>
      </c>
      <c r="F20" s="75"/>
      <c r="G20" s="75"/>
    </row>
    <row r="21" spans="2:7" x14ac:dyDescent="0.4">
      <c r="B21" s="37" t="s">
        <v>141</v>
      </c>
      <c r="C21" s="56">
        <v>15.738</v>
      </c>
      <c r="D21" s="57">
        <f>(1+D8)*15</f>
        <v>15.738</v>
      </c>
      <c r="F21" s="75"/>
      <c r="G21" s="75"/>
    </row>
    <row r="22" spans="2:7" x14ac:dyDescent="0.4">
      <c r="B22" s="37" t="s">
        <v>142</v>
      </c>
      <c r="C22" s="56">
        <v>0</v>
      </c>
      <c r="D22" s="57">
        <f>(1+D8)*0</f>
        <v>0</v>
      </c>
      <c r="F22" s="75"/>
      <c r="G22" s="75"/>
    </row>
    <row r="23" spans="2:7" x14ac:dyDescent="0.4">
      <c r="B23" s="37" t="s">
        <v>143</v>
      </c>
      <c r="C23" s="56"/>
      <c r="D23" s="57"/>
      <c r="F23" s="75"/>
      <c r="G23" s="75"/>
    </row>
    <row r="24" spans="2:7" x14ac:dyDescent="0.4">
      <c r="B24" s="37" t="s">
        <v>144</v>
      </c>
      <c r="C24" s="58">
        <v>0.03</v>
      </c>
      <c r="D24" s="59">
        <v>0.03</v>
      </c>
      <c r="F24" s="75"/>
      <c r="G24" s="75"/>
    </row>
    <row r="25" spans="2:7" x14ac:dyDescent="0.4">
      <c r="B25" s="37" t="s">
        <v>145</v>
      </c>
      <c r="C25" s="58">
        <v>0.03</v>
      </c>
      <c r="D25" s="59">
        <v>0.03</v>
      </c>
      <c r="F25" s="75"/>
      <c r="G25" s="75"/>
    </row>
    <row r="26" spans="2:7" x14ac:dyDescent="0.4">
      <c r="B26" s="37" t="s">
        <v>146</v>
      </c>
      <c r="C26" s="60">
        <v>0.35</v>
      </c>
      <c r="D26" s="37">
        <v>0.35</v>
      </c>
    </row>
    <row r="27" spans="2:7" ht="14.6" customHeight="1" x14ac:dyDescent="0.4">
      <c r="C27" s="61"/>
      <c r="D27" s="3"/>
      <c r="F27" s="75" t="s">
        <v>147</v>
      </c>
      <c r="G27" s="75"/>
    </row>
    <row r="28" spans="2:7" x14ac:dyDescent="0.4">
      <c r="B28" s="62" t="s">
        <v>148</v>
      </c>
      <c r="C28" s="35" t="s">
        <v>149</v>
      </c>
      <c r="D28" s="3"/>
      <c r="F28" s="75"/>
      <c r="G28" s="75"/>
    </row>
    <row r="29" spans="2:7" x14ac:dyDescent="0.4">
      <c r="B29" s="63" t="s">
        <v>150</v>
      </c>
      <c r="C29" s="57">
        <f>IFERROR(C2*C10/C3/365,"")</f>
        <v>82.786191780821909</v>
      </c>
      <c r="D29" s="3"/>
      <c r="F29" s="75"/>
      <c r="G29" s="75"/>
    </row>
    <row r="30" spans="2:7" x14ac:dyDescent="0.4">
      <c r="B30" s="63" t="s">
        <v>151</v>
      </c>
      <c r="C30" s="57">
        <f>C14/C15*C13/7</f>
        <v>12.797934065934067</v>
      </c>
      <c r="D30" s="40" t="str">
        <f>IF(C4&lt;&gt;0," (is "&amp;TEXT(7*C30/(C14/C15),"0,0")&amp;" uur per jeugdige week)","")</f>
        <v xml:space="preserve"> (is 1,0 uur per jeugdige week)</v>
      </c>
      <c r="F30" s="75"/>
      <c r="G30" s="75"/>
    </row>
    <row r="31" spans="2:7" x14ac:dyDescent="0.4">
      <c r="B31" s="63" t="s">
        <v>152</v>
      </c>
      <c r="C31" s="57">
        <f>IFERROR(C16/C18*1878/36*C17/365+IF((1/C4+C13/C15*1878/36+C16/C18*1878/36)&lt;C26,(C26-(1/C4+C13/C15*1878/36+C16/C18*1878/36))*C17/365,0),"")</f>
        <v>8.6759189823874738</v>
      </c>
      <c r="D31" s="40" t="str">
        <f>IFERROR(" (is "&amp;TEXT(7*C31/(C17/C18),"0,0")&amp;" uur per jeugdige week)","")</f>
        <v xml:space="preserve"> (is 1,0 uur per jeugdige week)</v>
      </c>
      <c r="F31" s="75"/>
      <c r="G31" s="75"/>
    </row>
    <row r="32" spans="2:7" x14ac:dyDescent="0.4">
      <c r="B32" s="63" t="s">
        <v>153</v>
      </c>
      <c r="C32" s="57">
        <f>C19</f>
        <v>12.590399999999999</v>
      </c>
      <c r="D32" s="64"/>
      <c r="F32" s="75"/>
      <c r="G32" s="75"/>
    </row>
    <row r="33" spans="2:7" x14ac:dyDescent="0.4">
      <c r="B33" s="63" t="s">
        <v>154</v>
      </c>
      <c r="C33" s="57">
        <f t="shared" ref="C33:C34" si="0">C20</f>
        <v>16.262599999999999</v>
      </c>
      <c r="D33" s="64"/>
      <c r="F33" s="75"/>
      <c r="G33" s="75"/>
    </row>
    <row r="34" spans="2:7" x14ac:dyDescent="0.4">
      <c r="B34" s="63" t="s">
        <v>155</v>
      </c>
      <c r="C34" s="57">
        <f t="shared" si="0"/>
        <v>15.738</v>
      </c>
      <c r="D34" s="64"/>
      <c r="F34" s="75"/>
      <c r="G34" s="75"/>
    </row>
    <row r="35" spans="2:7" x14ac:dyDescent="0.4">
      <c r="B35" s="63" t="s">
        <v>156</v>
      </c>
      <c r="C35" s="57">
        <f>IFERROR((C11*C2+C12)/C3/365,"")</f>
        <v>23.801030136986302</v>
      </c>
      <c r="D35" s="64"/>
      <c r="F35" s="75"/>
      <c r="G35" s="75"/>
    </row>
    <row r="36" spans="2:7" x14ac:dyDescent="0.4">
      <c r="B36" s="63" t="s">
        <v>157</v>
      </c>
      <c r="C36" s="57">
        <f>C22</f>
        <v>0</v>
      </c>
      <c r="D36" s="64"/>
      <c r="F36" s="75"/>
      <c r="G36" s="75"/>
    </row>
    <row r="37" spans="2:7" x14ac:dyDescent="0.4">
      <c r="B37" s="63" t="s">
        <v>158</v>
      </c>
      <c r="C37" s="57">
        <f>SUM(C29:C36)*C24</f>
        <v>5.1795622489838928</v>
      </c>
      <c r="D37" s="64"/>
      <c r="F37" s="75"/>
      <c r="G37" s="75"/>
    </row>
    <row r="38" spans="2:7" x14ac:dyDescent="0.4">
      <c r="B38" s="63" t="s">
        <v>159</v>
      </c>
      <c r="C38" s="57">
        <f>SUM(C29:C36)*C25</f>
        <v>5.1795622489838928</v>
      </c>
      <c r="D38" s="64"/>
      <c r="F38" s="75"/>
      <c r="G38" s="75"/>
    </row>
    <row r="39" spans="2:7" x14ac:dyDescent="0.4">
      <c r="B39" s="63" t="s">
        <v>160</v>
      </c>
      <c r="C39" s="65">
        <f>C23</f>
        <v>0</v>
      </c>
      <c r="D39" s="64"/>
      <c r="F39" s="75"/>
      <c r="G39" s="75"/>
    </row>
    <row r="40" spans="2:7" x14ac:dyDescent="0.4">
      <c r="B40" s="66" t="s">
        <v>161</v>
      </c>
      <c r="C40" s="67">
        <f>IF(OR(SUM(C2:C2)=0,C3=0),"",SUM(C29:C39))</f>
        <v>183.01119946409756</v>
      </c>
      <c r="F40" s="75"/>
      <c r="G40" s="75"/>
    </row>
  </sheetData>
  <mergeCells count="7">
    <mergeCell ref="F27:G40"/>
    <mergeCell ref="E1:F1"/>
    <mergeCell ref="D2:D4"/>
    <mergeCell ref="E2:F4"/>
    <mergeCell ref="F9:G10"/>
    <mergeCell ref="F12:G15"/>
    <mergeCell ref="F16:G25"/>
  </mergeCells>
  <conditionalFormatting sqref="F8">
    <cfRule type="expression" dxfId="1" priority="1">
      <formula>F8="Vul in geval van indexatie zowel 'jaar' in als 'percentage'"</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804C3-78C8-4B6C-AC60-068E4944C08C}">
  <sheetPr>
    <tabColor theme="9" tint="0.79998168889431442"/>
  </sheetPr>
  <dimension ref="B1:G40"/>
  <sheetViews>
    <sheetView workbookViewId="0">
      <selection activeCell="D17" sqref="D17"/>
    </sheetView>
  </sheetViews>
  <sheetFormatPr defaultRowHeight="14.6" x14ac:dyDescent="0.4"/>
  <cols>
    <col min="2" max="2" width="57.84375" customWidth="1"/>
    <col min="3" max="3" width="12.15234375" customWidth="1"/>
    <col min="4" max="4" width="26.69140625" customWidth="1"/>
    <col min="5" max="5" width="3" customWidth="1"/>
    <col min="6" max="6" width="22" customWidth="1"/>
    <col min="7" max="7" width="39.69140625" customWidth="1"/>
  </cols>
  <sheetData>
    <row r="1" spans="2:7" x14ac:dyDescent="0.4">
      <c r="B1" s="34" t="s">
        <v>114</v>
      </c>
      <c r="C1" s="35" t="s">
        <v>115</v>
      </c>
      <c r="D1" s="36" t="s">
        <v>116</v>
      </c>
      <c r="E1" s="76" t="s">
        <v>117</v>
      </c>
      <c r="F1" s="76"/>
    </row>
    <row r="2" spans="2:7" ht="14.6" customHeight="1" x14ac:dyDescent="0.4">
      <c r="B2" s="37" t="s">
        <v>118</v>
      </c>
      <c r="C2" s="38">
        <v>2</v>
      </c>
      <c r="D2" s="77">
        <f>IF(OR(SUM(C2:C2)=0,C3=0),"",C40)</f>
        <v>211.25681327231672</v>
      </c>
      <c r="E2" s="79" t="str">
        <f>IFERROR(TEXT(C31*7/(C17/(365/7))+C13/C15*1878/36+1/C4,"0,00")&amp;" fte per jeugdige","")</f>
        <v>0,58 fte per jeugdige</v>
      </c>
      <c r="F2" s="79"/>
    </row>
    <row r="3" spans="2:7" ht="14.6" customHeight="1" x14ac:dyDescent="0.4">
      <c r="B3" s="37" t="s">
        <v>119</v>
      </c>
      <c r="C3" s="38">
        <v>4</v>
      </c>
      <c r="D3" s="78"/>
      <c r="E3" s="79"/>
      <c r="F3" s="79"/>
    </row>
    <row r="4" spans="2:7" ht="14.6" customHeight="1" x14ac:dyDescent="0.4">
      <c r="B4" s="37" t="s">
        <v>120</v>
      </c>
      <c r="C4" s="39">
        <f>IFERROR(C3/C2,0)</f>
        <v>2</v>
      </c>
      <c r="D4" s="78"/>
      <c r="E4" s="79"/>
      <c r="F4" s="79"/>
    </row>
    <row r="5" spans="2:7" ht="18.45" x14ac:dyDescent="0.4">
      <c r="C5" s="40"/>
      <c r="D5" s="41"/>
      <c r="E5" s="42"/>
      <c r="F5" s="42"/>
    </row>
    <row r="6" spans="2:7" x14ac:dyDescent="0.4">
      <c r="D6" s="43" t="s">
        <v>121</v>
      </c>
      <c r="F6" s="44"/>
    </row>
    <row r="7" spans="2:7" ht="18.45" x14ac:dyDescent="0.5">
      <c r="C7" s="35" t="s">
        <v>122</v>
      </c>
      <c r="D7" s="45">
        <v>2023</v>
      </c>
      <c r="F7" s="46" t="s">
        <v>123</v>
      </c>
    </row>
    <row r="8" spans="2:7" x14ac:dyDescent="0.4">
      <c r="C8" s="35" t="s">
        <v>124</v>
      </c>
      <c r="D8" s="47">
        <v>4.9200000000000001E-2</v>
      </c>
      <c r="F8" s="48" t="str">
        <f>IF(OR(D7="",D8=""),"Vul in geval van indexatie zowel 'jaar' in als 'percentage'",IF(D8&lt;&gt;"","Let op! De indexatie verandert uitsluitend de standaardwaarden, niet kolom C!",""))</f>
        <v>Let op! De indexatie verandert uitsluitend de standaardwaarden, niet kolom C!</v>
      </c>
    </row>
    <row r="9" spans="2:7" ht="14.6" customHeight="1" x14ac:dyDescent="0.4">
      <c r="B9" s="49" t="s">
        <v>125</v>
      </c>
      <c r="C9" s="35" t="s">
        <v>126</v>
      </c>
      <c r="D9" s="35" t="str">
        <f>"(standaardwaarde pp"&amp;IF(OR(D7="",D8=""),2022,D7)&amp;")"</f>
        <v>(standaardwaarde pp2023)</v>
      </c>
      <c r="F9" s="80" t="s">
        <v>127</v>
      </c>
      <c r="G9" s="80"/>
    </row>
    <row r="10" spans="2:7" x14ac:dyDescent="0.4">
      <c r="B10" s="37" t="s">
        <v>128</v>
      </c>
      <c r="C10" s="50">
        <v>75542.399999999994</v>
      </c>
      <c r="D10" s="51">
        <f>(1+D8)*72000</f>
        <v>75542.399999999994</v>
      </c>
      <c r="F10" s="80"/>
      <c r="G10" s="80"/>
    </row>
    <row r="11" spans="2:7" x14ac:dyDescent="0.4">
      <c r="B11" s="37" t="s">
        <v>129</v>
      </c>
      <c r="C11" s="52">
        <v>12590.4</v>
      </c>
      <c r="D11" s="51">
        <f>(1+D8)*12000</f>
        <v>12590.4</v>
      </c>
      <c r="F11" s="53"/>
      <c r="G11" s="53"/>
    </row>
    <row r="12" spans="2:7" ht="14.6" customHeight="1" x14ac:dyDescent="0.4">
      <c r="B12" s="37" t="s">
        <v>130</v>
      </c>
      <c r="C12" s="52">
        <v>18256.079999999998</v>
      </c>
      <c r="D12" s="51">
        <f>(1+D8)*17400</f>
        <v>18256.079999999998</v>
      </c>
      <c r="F12" s="75" t="s">
        <v>131</v>
      </c>
      <c r="G12" s="75"/>
    </row>
    <row r="13" spans="2:7" x14ac:dyDescent="0.4">
      <c r="B13" s="37" t="s">
        <v>132</v>
      </c>
      <c r="C13" s="38">
        <v>1</v>
      </c>
      <c r="D13" s="39">
        <v>1</v>
      </c>
      <c r="F13" s="75"/>
      <c r="G13" s="75"/>
    </row>
    <row r="14" spans="2:7" x14ac:dyDescent="0.4">
      <c r="B14" s="37" t="s">
        <v>133</v>
      </c>
      <c r="C14" s="52">
        <v>116461.2</v>
      </c>
      <c r="D14" s="51">
        <f>(1+D8)*111000</f>
        <v>116461.2</v>
      </c>
      <c r="F14" s="75"/>
      <c r="G14" s="75"/>
    </row>
    <row r="15" spans="2:7" x14ac:dyDescent="0.4">
      <c r="B15" s="37" t="s">
        <v>134</v>
      </c>
      <c r="C15" s="54">
        <v>1300</v>
      </c>
      <c r="D15" s="55">
        <f>1300</f>
        <v>1300</v>
      </c>
      <c r="F15" s="75"/>
      <c r="G15" s="75"/>
    </row>
    <row r="16" spans="2:7" ht="14.6" customHeight="1" x14ac:dyDescent="0.4">
      <c r="B16" s="37" t="s">
        <v>135</v>
      </c>
      <c r="C16" s="38">
        <v>1</v>
      </c>
      <c r="D16" s="39">
        <v>1</v>
      </c>
      <c r="F16" s="75" t="s">
        <v>136</v>
      </c>
      <c r="G16" s="75"/>
    </row>
    <row r="17" spans="2:7" x14ac:dyDescent="0.4">
      <c r="B17" s="37" t="s">
        <v>137</v>
      </c>
      <c r="C17" s="52">
        <v>84985.2</v>
      </c>
      <c r="D17" s="51">
        <f>(1+D8)*81000</f>
        <v>84985.2</v>
      </c>
      <c r="F17" s="75"/>
      <c r="G17" s="75"/>
    </row>
    <row r="18" spans="2:7" x14ac:dyDescent="0.4">
      <c r="B18" s="37" t="s">
        <v>138</v>
      </c>
      <c r="C18" s="54">
        <v>1400</v>
      </c>
      <c r="D18" s="55">
        <v>1400</v>
      </c>
      <c r="F18" s="75"/>
      <c r="G18" s="75"/>
    </row>
    <row r="19" spans="2:7" x14ac:dyDescent="0.4">
      <c r="B19" s="37" t="s">
        <v>139</v>
      </c>
      <c r="C19" s="56">
        <v>12.590399999999999</v>
      </c>
      <c r="D19" s="57">
        <f>(1+D8)*12</f>
        <v>12.590399999999999</v>
      </c>
      <c r="F19" s="75"/>
      <c r="G19" s="75"/>
    </row>
    <row r="20" spans="2:7" x14ac:dyDescent="0.4">
      <c r="B20" s="37" t="s">
        <v>140</v>
      </c>
      <c r="C20" s="56">
        <v>16.262599999999999</v>
      </c>
      <c r="D20" s="57">
        <f>(1+D8)*15.5</f>
        <v>16.262599999999999</v>
      </c>
      <c r="F20" s="75"/>
      <c r="G20" s="75"/>
    </row>
    <row r="21" spans="2:7" x14ac:dyDescent="0.4">
      <c r="B21" s="37" t="s">
        <v>141</v>
      </c>
      <c r="C21" s="56">
        <v>15.738</v>
      </c>
      <c r="D21" s="57">
        <f>(1+D8)*15</f>
        <v>15.738</v>
      </c>
      <c r="F21" s="75"/>
      <c r="G21" s="75"/>
    </row>
    <row r="22" spans="2:7" x14ac:dyDescent="0.4">
      <c r="B22" s="37" t="s">
        <v>142</v>
      </c>
      <c r="C22" s="56">
        <v>0</v>
      </c>
      <c r="D22" s="57">
        <f>(1+D8)*0</f>
        <v>0</v>
      </c>
      <c r="F22" s="75"/>
      <c r="G22" s="75"/>
    </row>
    <row r="23" spans="2:7" x14ac:dyDescent="0.4">
      <c r="B23" s="37" t="s">
        <v>143</v>
      </c>
      <c r="C23" s="56"/>
      <c r="D23" s="57"/>
      <c r="F23" s="75"/>
      <c r="G23" s="75"/>
    </row>
    <row r="24" spans="2:7" x14ac:dyDescent="0.4">
      <c r="B24" s="37" t="s">
        <v>144</v>
      </c>
      <c r="C24" s="58">
        <v>0.03</v>
      </c>
      <c r="D24" s="59">
        <v>0.03</v>
      </c>
      <c r="F24" s="75"/>
      <c r="G24" s="75"/>
    </row>
    <row r="25" spans="2:7" x14ac:dyDescent="0.4">
      <c r="B25" s="37" t="s">
        <v>145</v>
      </c>
      <c r="C25" s="58">
        <v>0.03</v>
      </c>
      <c r="D25" s="59">
        <v>0.03</v>
      </c>
      <c r="F25" s="75"/>
      <c r="G25" s="75"/>
    </row>
    <row r="26" spans="2:7" x14ac:dyDescent="0.4">
      <c r="B26" s="37" t="s">
        <v>146</v>
      </c>
      <c r="C26" s="60">
        <v>0.35</v>
      </c>
      <c r="D26" s="37">
        <v>0.35</v>
      </c>
    </row>
    <row r="27" spans="2:7" ht="14.6" customHeight="1" x14ac:dyDescent="0.4">
      <c r="C27" s="61"/>
      <c r="D27" s="3"/>
      <c r="F27" s="75" t="s">
        <v>147</v>
      </c>
      <c r="G27" s="75"/>
    </row>
    <row r="28" spans="2:7" x14ac:dyDescent="0.4">
      <c r="B28" s="62" t="s">
        <v>148</v>
      </c>
      <c r="C28" s="35" t="s">
        <v>149</v>
      </c>
      <c r="D28" s="3"/>
      <c r="F28" s="75"/>
      <c r="G28" s="75"/>
    </row>
    <row r="29" spans="2:7" x14ac:dyDescent="0.4">
      <c r="B29" s="63" t="s">
        <v>150</v>
      </c>
      <c r="C29" s="57">
        <f>IFERROR(C2*C10/C3/365,"")</f>
        <v>103.48273972602739</v>
      </c>
      <c r="D29" s="3"/>
      <c r="F29" s="75"/>
      <c r="G29" s="75"/>
    </row>
    <row r="30" spans="2:7" x14ac:dyDescent="0.4">
      <c r="B30" s="63" t="s">
        <v>151</v>
      </c>
      <c r="C30" s="57">
        <f>C14/C15*C13/7</f>
        <v>12.797934065934067</v>
      </c>
      <c r="D30" s="40" t="str">
        <f>IF(C4&lt;&gt;0," (is "&amp;TEXT(7*C30/(C14/C15),"0,0")&amp;" uur per jeugdige week)","")</f>
        <v xml:space="preserve"> (is 1,0 uur per jeugdige week)</v>
      </c>
      <c r="F30" s="75"/>
      <c r="G30" s="75"/>
    </row>
    <row r="31" spans="2:7" x14ac:dyDescent="0.4">
      <c r="B31" s="63" t="s">
        <v>152</v>
      </c>
      <c r="C31" s="57">
        <f>IFERROR(C16/C18*1878/36*C17/365+IF((1/C4+C13/C15*1878/36+C16/C18*1878/36)&lt;C26,(C26-(1/C4+C13/C15*1878/36+C16/C18*1878/36))*C17/365,0),"")</f>
        <v>8.6759189823874738</v>
      </c>
      <c r="D31" s="40" t="str">
        <f>IFERROR(" (is "&amp;TEXT(7*C31/(C17/C18),"0,0")&amp;" uur per jeugdige week)","")</f>
        <v xml:space="preserve"> (is 1,0 uur per jeugdige week)</v>
      </c>
      <c r="F31" s="75"/>
      <c r="G31" s="75"/>
    </row>
    <row r="32" spans="2:7" x14ac:dyDescent="0.4">
      <c r="B32" s="63" t="s">
        <v>153</v>
      </c>
      <c r="C32" s="57">
        <f>C19</f>
        <v>12.590399999999999</v>
      </c>
      <c r="D32" s="64"/>
      <c r="F32" s="75"/>
      <c r="G32" s="75"/>
    </row>
    <row r="33" spans="2:7" x14ac:dyDescent="0.4">
      <c r="B33" s="63" t="s">
        <v>154</v>
      </c>
      <c r="C33" s="57">
        <f t="shared" ref="C33:C34" si="0">C20</f>
        <v>16.262599999999999</v>
      </c>
      <c r="D33" s="64"/>
      <c r="F33" s="75"/>
      <c r="G33" s="75"/>
    </row>
    <row r="34" spans="2:7" x14ac:dyDescent="0.4">
      <c r="B34" s="63" t="s">
        <v>155</v>
      </c>
      <c r="C34" s="57">
        <f t="shared" si="0"/>
        <v>15.738</v>
      </c>
      <c r="D34" s="64"/>
      <c r="F34" s="75"/>
      <c r="G34" s="75"/>
    </row>
    <row r="35" spans="2:7" x14ac:dyDescent="0.4">
      <c r="B35" s="63" t="s">
        <v>156</v>
      </c>
      <c r="C35" s="57">
        <f>IFERROR((C11*C2+C12)/C3/365,"")</f>
        <v>29.751287671232873</v>
      </c>
      <c r="D35" s="64"/>
      <c r="F35" s="75"/>
      <c r="G35" s="75"/>
    </row>
    <row r="36" spans="2:7" x14ac:dyDescent="0.4">
      <c r="B36" s="63" t="s">
        <v>157</v>
      </c>
      <c r="C36" s="57">
        <f>C22</f>
        <v>0</v>
      </c>
      <c r="D36" s="64"/>
      <c r="F36" s="75"/>
      <c r="G36" s="75"/>
    </row>
    <row r="37" spans="2:7" x14ac:dyDescent="0.4">
      <c r="B37" s="63" t="s">
        <v>158</v>
      </c>
      <c r="C37" s="57">
        <f>SUM(C29:C36)*C24</f>
        <v>5.9789664133674538</v>
      </c>
      <c r="D37" s="64"/>
      <c r="F37" s="75"/>
      <c r="G37" s="75"/>
    </row>
    <row r="38" spans="2:7" x14ac:dyDescent="0.4">
      <c r="B38" s="63" t="s">
        <v>159</v>
      </c>
      <c r="C38" s="57">
        <f>SUM(C29:C36)*C25</f>
        <v>5.9789664133674538</v>
      </c>
      <c r="D38" s="64"/>
      <c r="F38" s="75"/>
      <c r="G38" s="75"/>
    </row>
    <row r="39" spans="2:7" x14ac:dyDescent="0.4">
      <c r="B39" s="63" t="s">
        <v>160</v>
      </c>
      <c r="C39" s="65">
        <f>C23</f>
        <v>0</v>
      </c>
      <c r="D39" s="64"/>
      <c r="F39" s="75"/>
      <c r="G39" s="75"/>
    </row>
    <row r="40" spans="2:7" x14ac:dyDescent="0.4">
      <c r="B40" s="66" t="s">
        <v>161</v>
      </c>
      <c r="C40" s="67">
        <f>IF(OR(SUM(C2:C2)=0,C3=0),"",SUM(C29:C39))</f>
        <v>211.25681327231672</v>
      </c>
      <c r="F40" s="75"/>
      <c r="G40" s="75"/>
    </row>
  </sheetData>
  <mergeCells count="7">
    <mergeCell ref="F27:G40"/>
    <mergeCell ref="E1:F1"/>
    <mergeCell ref="D2:D4"/>
    <mergeCell ref="E2:F4"/>
    <mergeCell ref="F9:G10"/>
    <mergeCell ref="F12:G15"/>
    <mergeCell ref="F16:G25"/>
  </mergeCells>
  <conditionalFormatting sqref="F8">
    <cfRule type="expression" dxfId="0" priority="1">
      <formula>F8="Vul in geval van indexatie zowel 'jaar' in als 'percentage'"</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Ambulant individueel</vt:lpstr>
      <vt:lpstr>Ambulant groep</vt:lpstr>
      <vt:lpstr>Verblijf</vt:lpstr>
      <vt:lpstr>Gezinshuis Licht</vt:lpstr>
      <vt:lpstr>Gezinshuis Middel</vt:lpstr>
      <vt:lpstr>Gezinshuis Zwaar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Smeets, David</dc:creator>
  <cp:lastModifiedBy>Smeets, David</cp:lastModifiedBy>
  <dcterms:created xsi:type="dcterms:W3CDTF">2023-07-04T15:37:32Z</dcterms:created>
  <dcterms:modified xsi:type="dcterms:W3CDTF">2023-07-14T09:30:18Z</dcterms:modified>
</cp:coreProperties>
</file>